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599" activeTab="5"/>
  </bookViews>
  <sheets>
    <sheet name="2023-2024 MILLS" sheetId="1" r:id="rId1"/>
    <sheet name="2022-2023 MILLS" sheetId="2" r:id="rId2"/>
    <sheet name="Dept #" sheetId="3" r:id="rId3"/>
    <sheet name="REV. 23-24" sheetId="4" r:id="rId4"/>
    <sheet name="FUND BAL." sheetId="5" r:id="rId5"/>
    <sheet name="FB History" sheetId="6" r:id="rId6"/>
    <sheet name="CLR" sheetId="7" r:id="rId7"/>
    <sheet name="Millage Rate History" sheetId="8" r:id="rId8"/>
  </sheets>
  <definedNames>
    <definedName name="_xlnm.Print_Area" localSheetId="1">'2022-2023 MILLS'!$A$1:$K$47</definedName>
    <definedName name="_xlnm.Print_Area" localSheetId="0">'2023-2024 MILLS'!$A$15:$L$48</definedName>
    <definedName name="_xlnm.Print_Area" localSheetId="6">'CLR'!$C$4:$I$39</definedName>
    <definedName name="_xlnm.Print_Area" localSheetId="2">'Dept #'!$A$1:$I$57</definedName>
    <definedName name="_xlnm.Print_Area" localSheetId="4">'FUND BAL.'!$A$1:$K$24</definedName>
    <definedName name="_xlnm.Print_Area" localSheetId="3">'REV. 23-24'!$A$1:$G$79</definedName>
    <definedName name="_xlnm.Print_Titles" localSheetId="3">'REV. 23-24'!$1:$3</definedName>
  </definedNames>
  <calcPr fullCalcOnLoad="1"/>
</workbook>
</file>

<file path=xl/sharedStrings.xml><?xml version="1.0" encoding="utf-8"?>
<sst xmlns="http://schemas.openxmlformats.org/spreadsheetml/2006/main" count="803" uniqueCount="367">
  <si>
    <t>REAL ESTATE</t>
  </si>
  <si>
    <t>PER PDE APPROVAL</t>
  </si>
  <si>
    <t>MULTIPLIED BY CURRENT MILLAGE RATES</t>
  </si>
  <si>
    <t>TOTAL ASSESSED TAXABLE REAL ESTATE VALUES OF THE DISTRICT</t>
  </si>
  <si>
    <t>ADJUSTMENTS FOR NEW CONSTRUCTION</t>
  </si>
  <si>
    <t>NET ADJUSTMENTS FROM SUCCESSFUL TAXPAYER R. E. APPEALS</t>
  </si>
  <si>
    <t>.00 MILLS</t>
  </si>
  <si>
    <t>2012-2013</t>
  </si>
  <si>
    <t>STATE ACCESS FUNDS</t>
  </si>
  <si>
    <t>PITCAIRN ELEMENTARY - CLOSED</t>
  </si>
  <si>
    <t>BUDGET MANAGER</t>
  </si>
  <si>
    <t>&amp; DEPARTMENT</t>
  </si>
  <si>
    <t>SUBTOTAL STATE SUBSIDIES</t>
  </si>
  <si>
    <t>SUBTOTAL FEDERAL SUBSIDIES</t>
  </si>
  <si>
    <t>GRAND TOTAL OF ALL REVENUES</t>
  </si>
  <si>
    <t>LOCAL REVENUES</t>
  </si>
  <si>
    <t>SUBTOTAL LOCAL REVENUES</t>
  </si>
  <si>
    <t>OTHER LOCAL REVENUES</t>
  </si>
  <si>
    <t>SUBTOTAL OTHER LOCAL REVENUES</t>
  </si>
  <si>
    <t>BUDGET</t>
  </si>
  <si>
    <t>AUDITED</t>
  </si>
  <si>
    <t>$</t>
  </si>
  <si>
    <t>%</t>
  </si>
  <si>
    <t>ACTUAL</t>
  </si>
  <si>
    <t>VARIANCE</t>
  </si>
  <si>
    <t>DESCRIPTION</t>
  </si>
  <si>
    <t>TOTAL</t>
  </si>
  <si>
    <t>2002-2003</t>
  </si>
  <si>
    <t>2003-2004</t>
  </si>
  <si>
    <t>2004-2005</t>
  </si>
  <si>
    <t>INCREASE</t>
  </si>
  <si>
    <t>CURRENT REAL ESTATE TAXES</t>
  </si>
  <si>
    <t>DELINQUENT REAL ESTATE TAXES</t>
  </si>
  <si>
    <t>MISCELLANEOUS REVENUE</t>
  </si>
  <si>
    <t>DEBT SERVICE SUBSIDY</t>
  </si>
  <si>
    <t>A.I.U. ACCESS FUNDS</t>
  </si>
  <si>
    <t>FUND BALANCE</t>
  </si>
  <si>
    <t>ID #</t>
  </si>
  <si>
    <t>$ VARIANCE</t>
  </si>
  <si>
    <t>% VARIANCE</t>
  </si>
  <si>
    <t>INC (DECR)</t>
  </si>
  <si>
    <t>SPECIAL EDUCATION SUBSIDY</t>
  </si>
  <si>
    <t>TRANSPORTATION SUBSIDY</t>
  </si>
  <si>
    <t>GATEWAY SCHOOL DISTRICT:</t>
  </si>
  <si>
    <t>VALUE</t>
  </si>
  <si>
    <t>FOR 2003</t>
  </si>
  <si>
    <t>FOR 2004</t>
  </si>
  <si>
    <t>MONROEVILLE</t>
  </si>
  <si>
    <t>PITCAIRN</t>
  </si>
  <si>
    <t>STATE SUBSIDIES</t>
  </si>
  <si>
    <t>FEDERAL SUBSIDIES</t>
  </si>
  <si>
    <t>LESS: 2% DISCOUNT ON REAL ESTATE TAX COLLECTIONS</t>
  </si>
  <si>
    <t>MUNICIPALITY OF MONROEVILLE</t>
  </si>
  <si>
    <t>BOROUGH OF PITCAIRN</t>
  </si>
  <si>
    <t>MUNICIPALITY OF</t>
  </si>
  <si>
    <t>BOROUGH OF</t>
  </si>
  <si>
    <t>SCHOOL DISTRICT</t>
  </si>
  <si>
    <t>2005-2006</t>
  </si>
  <si>
    <t>CALCULATED CURRENT REAL ESTATE TAX REVENUE - (100%)</t>
  </si>
  <si>
    <t>PROJECTED CURRENT REAL ESTATE TAX REVENUE AFTER DISCOUNT</t>
  </si>
  <si>
    <t>CALCULATED GROSS CURRENT REAL ESTATE TAX REVENUE</t>
  </si>
  <si>
    <t>FOR 2005</t>
  </si>
  <si>
    <t>TITLE II - IMPROVING</t>
  </si>
  <si>
    <t>ORIGINAL</t>
  </si>
  <si>
    <t>X  .01941</t>
  </si>
  <si>
    <t>FOR 2006</t>
  </si>
  <si>
    <t>10/24/05 &amp; 4/28/05</t>
  </si>
  <si>
    <t>GRAND TOTALS</t>
  </si>
  <si>
    <t>2007-2008</t>
  </si>
  <si>
    <t>2008-2009</t>
  </si>
  <si>
    <t>OTHER CONTRIBUTIONS</t>
  </si>
  <si>
    <t>ADJUSTED REAL ESTATE TAX REVENUE AFTER HOMESTEAD EXCLUSION</t>
  </si>
  <si>
    <t>2009-2010</t>
  </si>
  <si>
    <t>+</t>
  </si>
  <si>
    <t>2013-2014</t>
  </si>
  <si>
    <t>2010-2011</t>
  </si>
  <si>
    <t>NET INCREASE OF</t>
  </si>
  <si>
    <t>SAFE SCHOOLS TARGETED GRANT</t>
  </si>
  <si>
    <t>PA PROPERTY TAX REDUCTION ALLOCATION</t>
  </si>
  <si>
    <t>PROPOSED</t>
  </si>
  <si>
    <t>X  .02102</t>
  </si>
  <si>
    <t>CURRENT TAXABLE ASSESSED REAL ESTATE VALUES</t>
  </si>
  <si>
    <t>NET CURRENT TAXABLE ASSESSED REAL ESTATE VALUES</t>
  </si>
  <si>
    <t>2011-2012</t>
  </si>
  <si>
    <t>BASIC EDUCATION INSTRUCTIONAL SUBSIDY</t>
  </si>
  <si>
    <t>TUITION FOR ORPHANS &amp; CHILDREN - 1305 &amp; 1306</t>
  </si>
  <si>
    <t>X  .02185</t>
  </si>
  <si>
    <t>MILLAGE RATE</t>
  </si>
  <si>
    <t>FISCAL YEAR</t>
  </si>
  <si>
    <t xml:space="preserve">TAX </t>
  </si>
  <si>
    <t>NUMBER</t>
  </si>
  <si>
    <t>OF MILLS</t>
  </si>
  <si>
    <t>YES</t>
  </si>
  <si>
    <t>NO</t>
  </si>
  <si>
    <t>?</t>
  </si>
  <si>
    <t>X  .0185215</t>
  </si>
  <si>
    <t>X  .0188919</t>
  </si>
  <si>
    <t>2014-2015</t>
  </si>
  <si>
    <t>TUITION DEDUCTION</t>
  </si>
  <si>
    <t>FACILITY RENTALS</t>
  </si>
  <si>
    <t xml:space="preserve">INDIVIDUALS WITH DISABILITIES EDUCATION ACT - IDEA </t>
  </si>
  <si>
    <t>INTEREST EARNED ON CD'S &amp; SWEEP ACCOUNTS</t>
  </si>
  <si>
    <t xml:space="preserve">DELINQUENT EARNED INCOME TAXES - ACT 511 </t>
  </si>
  <si>
    <t>REAL ESTATE DEED TRANSFER TAXES - ACT 511</t>
  </si>
  <si>
    <t>PUBLIC UTILITY REALITY TAXES</t>
  </si>
  <si>
    <t>MEDICAL, DENTAL, &amp; NURSE SERVICES SUBSIDY</t>
  </si>
  <si>
    <t>MEDICAL ASSISTANCE REIMBURSEMENT FOR ADMIN EXP</t>
  </si>
  <si>
    <t>INCREASE REQUIRED TO EQUAL 13-14 REVENUE</t>
  </si>
  <si>
    <t>MRS. BONNIE EASHA - BOARD</t>
  </si>
  <si>
    <t>MR. MICHAEL MATTEO - EVERGREEN</t>
  </si>
  <si>
    <t>MR. KURT MARTIN - DRUG-FREE FUNDS</t>
  </si>
  <si>
    <t>MRS. HEATHER BUNGARD - SPECIAL ED.</t>
  </si>
  <si>
    <t>MRS. BONNIE EASHA - TRANSPORTATION</t>
  </si>
  <si>
    <t>MR. MARTIN LORENZO - CAFETERIA FUND</t>
  </si>
  <si>
    <t>MRS. MONICA GRIFFITH - PSYCHOLOGIST</t>
  </si>
  <si>
    <t>2015-2016</t>
  </si>
  <si>
    <t>PRELIMINARY</t>
  </si>
  <si>
    <t>X  .0193264</t>
  </si>
  <si>
    <t>READY TO LEARN BLOCK GRANT</t>
  </si>
  <si>
    <t>STATE SHARE FICA SUBSIDY - 50% REIMBURSEMENT</t>
  </si>
  <si>
    <t>REVENUE RETIREMENT SUBSIDY - 50% REIMBURSEMENT</t>
  </si>
  <si>
    <t>2017-2018</t>
  </si>
  <si>
    <t>2019-2020</t>
  </si>
  <si>
    <t>2020-2021</t>
  </si>
  <si>
    <t>2022-2023</t>
  </si>
  <si>
    <t>2023-2024</t>
  </si>
  <si>
    <t>2018-2019</t>
  </si>
  <si>
    <t>2021-2022</t>
  </si>
  <si>
    <t>X  .977</t>
  </si>
  <si>
    <t>13-14 GROSS REVENUE</t>
  </si>
  <si>
    <t>MR. MICHAEL BROWN - TECHNOLOGY</t>
  </si>
  <si>
    <t>UTILIZATION OF</t>
  </si>
  <si>
    <t>*2016-2017*</t>
  </si>
  <si>
    <t>*2006-2007*</t>
  </si>
  <si>
    <t>*BALANCED BUDGET WITH NO TAX INCREASE &amp; NO FUND BALANCE*</t>
  </si>
  <si>
    <t xml:space="preserve"> BUDGET</t>
  </si>
  <si>
    <t>MS. JENNIFER HOFFNER - UP</t>
  </si>
  <si>
    <t>DR. DENNIS CHAKEY - ASST. SUPER. - SEC</t>
  </si>
  <si>
    <t>PROCEEDS FROM REFUNDING OF BONDS</t>
  </si>
  <si>
    <t xml:space="preserve">ENERGY EFFICIENCY REVENUES &amp; INCENTIVES </t>
  </si>
  <si>
    <t>REFUNDS OF PRIOR YEAR EXPENDITURES</t>
  </si>
  <si>
    <t>RECEIPTS FROM OTHER LEAS IN PA</t>
  </si>
  <si>
    <t>CURRENT EARNED INCOME TAXES - ACT 511</t>
  </si>
  <si>
    <t>CURRENT MERCANTILE TAXES - ACT 511</t>
  </si>
  <si>
    <t>CURRENT LOCAL SERVICES TAXES</t>
  </si>
  <si>
    <t>DELINQUENT LOCAL SERVICES TAXES</t>
  </si>
  <si>
    <t>DELINQUENT MERCANTILE TAXES - ACT 511</t>
  </si>
  <si>
    <t>DR. WILLIAM SHORT - SUPERINTENDENT</t>
  </si>
  <si>
    <t>OLD - ASST. SUP. - SEC. BUDGET MGR CODE</t>
  </si>
  <si>
    <t>X  .0198675</t>
  </si>
  <si>
    <t>TITLE IV - PART A</t>
  </si>
  <si>
    <t>TITLE III - LEP/IMMIGRATION</t>
  </si>
  <si>
    <t>TITLE I - IMPROVING</t>
  </si>
  <si>
    <t>FOR 2018-2019</t>
  </si>
  <si>
    <t>FOR 2017-2018</t>
  </si>
  <si>
    <t>FOR 2016-2017</t>
  </si>
  <si>
    <t>FOR 2015-2016</t>
  </si>
  <si>
    <t>FOR 2014-2015</t>
  </si>
  <si>
    <t>FOR 2013-2014</t>
  </si>
  <si>
    <t>FOR 2012-2013</t>
  </si>
  <si>
    <t>FOR 2011-2012</t>
  </si>
  <si>
    <t>FOR 2010-2011</t>
  </si>
  <si>
    <t>FOR 2009-2010</t>
  </si>
  <si>
    <t>FOR 2008-2009</t>
  </si>
  <si>
    <t>FOR 2007-2008</t>
  </si>
  <si>
    <t>FOR 2006-2007</t>
  </si>
  <si>
    <t>&lt;------------</t>
  </si>
  <si>
    <t>NEVER SHOULD HAVE BEEN BUDGETED IN THIS MANNER.</t>
  </si>
  <si>
    <t>REVENUE NEUTRAL</t>
  </si>
  <si>
    <t>BEFORE TAX INCREASE</t>
  </si>
  <si>
    <t>PROGRAM REVENUES NOT LISTED IN 7200 SERIES ACCTS</t>
  </si>
  <si>
    <t>MR. JUSTIN STEPHANS - HIGH SCHOOL</t>
  </si>
  <si>
    <t>FOR 2019-2020</t>
  </si>
  <si>
    <t>CURRENT MILLAGE RATE OF 19.8675 MILLS</t>
  </si>
  <si>
    <t>AMOUNT OF FUND</t>
  </si>
  <si>
    <t>BALANCE BUDGETED</t>
  </si>
  <si>
    <t>19.8675 - .0992 = 19.7683 MILLS</t>
  </si>
  <si>
    <t>X  .0197683</t>
  </si>
  <si>
    <t>NET DECREASE OF</t>
  </si>
  <si>
    <t>DECREASE FROM 19.8675</t>
  </si>
  <si>
    <t>A (.0992) MILL R/E TAX</t>
  </si>
  <si>
    <t>THE MULTIPLE SUBSEQUENT REAL ESTATE TAX</t>
  </si>
  <si>
    <t xml:space="preserve">MILLAGE INCREASES OVER MULTIPLE FISCAL </t>
  </si>
  <si>
    <t>YEARS HAVE RENDERED THIS ANALYSIS TO NOT</t>
  </si>
  <si>
    <t>BE PRACTICAL AS IT INITIALLY WAS TO PRESENT</t>
  </si>
  <si>
    <t xml:space="preserve">NOTE: THE DECLINES IN ASSESSED VALUES AND </t>
  </si>
  <si>
    <t>ADDITIONAL MILLS REQUIRED ABOVE THE INDEX.</t>
  </si>
  <si>
    <t>THE CONTINUED DECLINE IN ASSESSED VALUE &amp; THE</t>
  </si>
  <si>
    <t>FINAL</t>
  </si>
  <si>
    <t>OK = USED FOR CAPITAL PROJECTS, PURCHASE OF COPIERS, &amp; TO BALANCE BUDGET.</t>
  </si>
  <si>
    <t>OK = USED FOR CAPITAL PROJECTS.</t>
  </si>
  <si>
    <t>FOR 2020-2021</t>
  </si>
  <si>
    <t>TOTAL PROJECTED NET CURRENT REAL ESTATE TAX REVENUE FOR 2020-2021</t>
  </si>
  <si>
    <t>LESS: HOMESTEAD PROPERTY TAX REDUCTION ALLOCATION FOR 2020-2021</t>
  </si>
  <si>
    <t>PROJECTED DELINQUENT CURRRENT REAL ESTATE TAXES FOR 2020-2021</t>
  </si>
  <si>
    <t>ONE GROSS MILL OF CURRENT REAL ESTATE TAXES FOR 2020-2021 IS WORTH</t>
  </si>
  <si>
    <t>ONE NET MILL OF CURRENT REAL ESTATE TAXES FOR 2020-2021 IS WORTH</t>
  </si>
  <si>
    <t>MR. DON HOLL - ATHLETICS</t>
  </si>
  <si>
    <t>BASIC EDUCATION SUBSIDY - SS &amp; FICA - 50% REIMB</t>
  </si>
  <si>
    <t>STEM EDUCATION</t>
  </si>
  <si>
    <t>20-21 UTILIZATION OF PORTION OF INDEX RATE (1.5%)</t>
  </si>
  <si>
    <t>19.8675 + .2980 = 20.1655 MILLS</t>
  </si>
  <si>
    <t>X  .0201655</t>
  </si>
  <si>
    <t>A .2980 MILL R/E TAX</t>
  </si>
  <si>
    <t>.2980 MILLS</t>
  </si>
  <si>
    <t>20-21 UTILIZATION OF PORTION OF INDEX RATE (1.0%)</t>
  </si>
  <si>
    <t>19.8675 + .1987 = 20.0662 MILLS</t>
  </si>
  <si>
    <t>A .1987 MILL R/E TAX</t>
  </si>
  <si>
    <t>.1987 MILLS</t>
  </si>
  <si>
    <t>X  .0200662</t>
  </si>
  <si>
    <t>CARES - ESSER FUNDING</t>
  </si>
  <si>
    <t>CARES - DISASTER EMERGENCY SCHOOL HEALTH &amp; SAFETY FUNDING</t>
  </si>
  <si>
    <t>MR. MICHAEL JACK - GMS</t>
  </si>
  <si>
    <t>MS. LYNDSEY LOVE - MSMS</t>
  </si>
  <si>
    <t>FOR 2021-2022</t>
  </si>
  <si>
    <t>ANALYSIS OF BUDGETED 2021-2022 COLLECTIONS WITH 0.0 MILL INCREASE:</t>
  </si>
  <si>
    <t>X  .0208914</t>
  </si>
  <si>
    <t>0.00 MILLS</t>
  </si>
  <si>
    <t>MULTIPLIED BY TAX COLLECTION RATE - (97.7%) - (0.0% - COVID-19) = (97.7%)</t>
  </si>
  <si>
    <t>ESSER II FUNDING</t>
  </si>
  <si>
    <t>IDEA - COVID-19 - SEICM</t>
  </si>
  <si>
    <t>FEMA FUNDS PASSED THROUGH PEMA - COVID-19 REIMBURSEMENT</t>
  </si>
  <si>
    <t>ESSER III FUNDING</t>
  </si>
  <si>
    <t>MULTIPLIED BY TAX COLLECTION RATE - (98.5%) - (0.0% - COVID-19) = (98.5%)</t>
  </si>
  <si>
    <t>X  .985</t>
  </si>
  <si>
    <t>OK = PRIMARILY USED TO SUPPLEMENT CSE ADDITION &amp; RENOVATION.</t>
  </si>
  <si>
    <t>FOR 2022-2023</t>
  </si>
  <si>
    <t>FROM 6/4/21</t>
  </si>
  <si>
    <t>CURRENT MILLAGE RATE OF 20.8914 MILLS</t>
  </si>
  <si>
    <t>TOTAL PROJECTED NET CURRENT REAL ESTATE TAX REVENUE FOR 2022-2023</t>
  </si>
  <si>
    <t>LESS: HOMESTEAD PROPERTY TAX REDUCTION ALLOCATION FOR 2022-2023</t>
  </si>
  <si>
    <t>PROJECTED DELINQUENT CURRRENT REAL ESTATE TAXES FOR 2022-2023</t>
  </si>
  <si>
    <t>ONE GROSS MILL OF CURRENT REAL ESTATE TAXES FOR 2022-2023 IS WORTH</t>
  </si>
  <si>
    <t>ONE NET MILL OF CURRENT REAL ESTATE TAXES FOR 2022-2023 IS WORTH</t>
  </si>
  <si>
    <t>X  .0217479</t>
  </si>
  <si>
    <t>22-23 INDEX RATE (4.1%)</t>
  </si>
  <si>
    <t>20.8914 + 0.8565 = 21.7479 MILLS</t>
  </si>
  <si>
    <t>A 0.8565 MILL R/E TAX</t>
  </si>
  <si>
    <t>0.8565 MILLS</t>
  </si>
  <si>
    <t>ARP ESSER HOMELESS CHILDREN &amp; YOUTH FUNDS</t>
  </si>
  <si>
    <t>NET ADJUSTMENTS FROM SUCCESSFUL TAXPAYER R. E. APPEALS - CBL</t>
  </si>
  <si>
    <t>ARP ESSER SUMMER PROGRAMS - 1% SET-ASIDE</t>
  </si>
  <si>
    <t>ARP ESSER LEARNING LOSS - 5% SET-ASIDE</t>
  </si>
  <si>
    <t>ARP ESSER AFTERSCHOOL PROGRAMS - 1% SET-ASIDE</t>
  </si>
  <si>
    <t>FEDERAL SUBSIDIES (CONTINUED)</t>
  </si>
  <si>
    <t>GATE RECEIPTS &amp; MISC - ATHLETICS</t>
  </si>
  <si>
    <t>TO 6/10/22</t>
  </si>
  <si>
    <t>OK = USED FOR CAPITAL PROJECTS &amp; PARTIALLY TO BALANCE BUDGET.</t>
  </si>
  <si>
    <t>2% discount</t>
  </si>
  <si>
    <t>collection %</t>
  </si>
  <si>
    <t>23-24 INDEX RATE (5.1%)</t>
  </si>
  <si>
    <t>21.7479 + 1.1091 = 22.8570 MILLS</t>
  </si>
  <si>
    <t>X  .022857</t>
  </si>
  <si>
    <t>index</t>
  </si>
  <si>
    <t>x2%</t>
  </si>
  <si>
    <t>A 1.1091 MILL R/E TAX</t>
  </si>
  <si>
    <t>1.1091 MILLS</t>
  </si>
  <si>
    <t>GROSS</t>
  </si>
  <si>
    <t>DISCOUNT</t>
  </si>
  <si>
    <t>22.8570 MILLS</t>
  </si>
  <si>
    <t>RAISE TAXES TO INDEX</t>
  </si>
  <si>
    <t>ANALYSIS OF BUDGETED 2023-2024 COLLECTIONS WITH 0.0 MILL INCREASE:</t>
  </si>
  <si>
    <t>ONE GROSS MILL OF CURRENT REAL ESTATE TAXES FOR 2023-2024 IS WORTH</t>
  </si>
  <si>
    <t xml:space="preserve">NO TAX </t>
  </si>
  <si>
    <t>NO TAX INCREASE  - 21.7479 MILLS</t>
  </si>
  <si>
    <t>RAISE TAXES TO INDEX -  22.8570 MILLS</t>
  </si>
  <si>
    <t>MS. BEY - CSE</t>
  </si>
  <si>
    <t>MRS. KATHLEEN FRIEND - RAMSEY</t>
  </si>
  <si>
    <t>MR. ROSI - HIGH SCHOOL</t>
  </si>
  <si>
    <t>MRS. ANDREA JESSELL - PERSONNEL</t>
  </si>
  <si>
    <t>MRS. SARAH KIELAR - HIGH SCHOOL</t>
  </si>
  <si>
    <t>CUT OUT OF</t>
  </si>
  <si>
    <t>22-23/23-24</t>
  </si>
  <si>
    <t xml:space="preserve">*** INCLUDES ESSER REIMBURSEMENT OF </t>
  </si>
  <si>
    <t>GSD</t>
  </si>
  <si>
    <t>TAX INCREASE</t>
  </si>
  <si>
    <t>DR. ROSSI</t>
  </si>
  <si>
    <t>ESSER $$</t>
  </si>
  <si>
    <t>MR. ROBERT BROWN - PROPOSED CAPITAL PROJECTS</t>
  </si>
  <si>
    <t>MR. MIKE ZOURELIAS - NON-BENEFIT (BONDS, REFUNDS,UTILITIES ETC)</t>
  </si>
  <si>
    <t>MISC.</t>
  </si>
  <si>
    <t>MR. MIKE ZOURELIAS - BUSINESS OFFICE ALL EMPLOYEE BENEFITS</t>
  </si>
  <si>
    <t>2012 BOND PAID OFF $907,125. SAVINGS -  2023 MALL REFUND $500,000</t>
  </si>
  <si>
    <t>HEALTH CARE INCREASE 14 %</t>
  </si>
  <si>
    <t>NON SPENDABLE</t>
  </si>
  <si>
    <t>COMMITED FUND BAL</t>
  </si>
  <si>
    <t>UNASSIGNED FUND BALANCE</t>
  </si>
  <si>
    <t xml:space="preserve">2022-2023 </t>
  </si>
  <si>
    <t>PROJECTED</t>
  </si>
  <si>
    <t>SCHOLARSHIP FUNDS</t>
  </si>
  <si>
    <t>MALL REFUND</t>
  </si>
  <si>
    <t>CONSTRUCTION FUND TRANSFER</t>
  </si>
  <si>
    <t>FUND BALANCE 2022-2023</t>
  </si>
  <si>
    <t>FUND BAL. REQUIRED TO BAL BUDGET</t>
  </si>
  <si>
    <t>2022-2023 BUDGET</t>
  </si>
  <si>
    <t>9,065,847 /</t>
  </si>
  <si>
    <t>TOTAL RECOMMENDED</t>
  </si>
  <si>
    <t>BETWEEN 5 % AND 15%</t>
  </si>
  <si>
    <t xml:space="preserve">2023-2024 </t>
  </si>
  <si>
    <t>Due to Covid more Special Ed needs</t>
  </si>
  <si>
    <t>NO TAX INCREASE</t>
  </si>
  <si>
    <t>DR. GUY ROSSI - ASST. SUP. - SEC.***</t>
  </si>
  <si>
    <t>ESSER OF $ 4,448,234.00</t>
  </si>
  <si>
    <t>2023-2024 BUDGET</t>
  </si>
  <si>
    <t xml:space="preserve">PROJECTED FUND BALANCE </t>
  </si>
  <si>
    <t>TO 22.857 MILLS</t>
  </si>
  <si>
    <t>INCLUDES  NO TAX INCREASE</t>
  </si>
  <si>
    <t>"NOT RECOMMENDED"</t>
  </si>
  <si>
    <t>TOTAL BEFORE  FUND BAL &amp; TAX INCREASE</t>
  </si>
  <si>
    <t xml:space="preserve">             "NOT RECOMMENDED"</t>
  </si>
  <si>
    <t xml:space="preserve">      TOTAL RECOMMENDED</t>
  </si>
  <si>
    <t xml:space="preserve">     BETWEEN 5 % AND 15%</t>
  </si>
  <si>
    <t>ASSESSED VALUE</t>
  </si>
  <si>
    <t>X</t>
  </si>
  <si>
    <t>2022-2023 RATE</t>
  </si>
  <si>
    <t>BEFORE HOUSING BOOM</t>
  </si>
  <si>
    <t xml:space="preserve"> HOUSING BOOM</t>
  </si>
  <si>
    <t>PAID</t>
  </si>
  <si>
    <t>BEFORE</t>
  </si>
  <si>
    <t>HOUSING BOOM</t>
  </si>
  <si>
    <t>INCREASE IN SCHOOL TAXES</t>
  </si>
  <si>
    <t>COMMON LEVEL RATIO</t>
  </si>
  <si>
    <t>ALLEGHENY COUNTY'S</t>
  </si>
  <si>
    <t>63 % OF ASSESSED VALUE</t>
  </si>
  <si>
    <t>AFTER COMMON LEVEL RATIO</t>
  </si>
  <si>
    <t>DECREASE IN SCHOOL TAXES</t>
  </si>
  <si>
    <t>PAID FOR SHIELDS &amp; PROTECITVE ITEMS WITH 2022-2023 FUNDS</t>
  </si>
  <si>
    <t>MAGAZINE ARTICLES ON GATEWAY IN LOCAL MAGAZINE COST</t>
  </si>
  <si>
    <t>ORDERED TECHNOLOGY SUPPLIES IN 2022-2023 WITH REMAING FUNDS. USING MORE TECHNOLOGY FOR STUDENTS &amp; LESS BOOKS</t>
  </si>
  <si>
    <t>INCREASED BOARD TRAVEL $4,000 - ENCOURAGE BOARD MEMBERS TO ATTEND INFORMATIONAL EVENTS</t>
  </si>
  <si>
    <t>$12,000 LIBRARY AS RECOMMENDED - ADDITIONAL TEXTBOOKS</t>
  </si>
  <si>
    <t>DECREASE DUE TO CURRICULUM PURCHASED OVER A 5 YEAR PLAN</t>
  </si>
  <si>
    <t>Necessary Capital Projects - INCLUDES MAY BOARD APPROVES PROJECT $588,409. - ASBESTOS REMOVAL-U.P, EVG, GHS: LIFT -U.P, DANCE STUDIO FLOOR - GHS: PARKING LOT - SPORTS COMPLEX</t>
  </si>
  <si>
    <t>YEAR</t>
  </si>
  <si>
    <t>ENDING FUND BAL #</t>
  </si>
  <si>
    <t>% OF BUDGET</t>
  </si>
  <si>
    <r>
      <t>MR. ROBERT BROWN - CUSTODIAL &amp; MAINTENANCE</t>
    </r>
    <r>
      <rPr>
        <sz val="10"/>
        <color indexed="10"/>
        <rFont val="Arial"/>
        <family val="2"/>
      </rPr>
      <t xml:space="preserve"> </t>
    </r>
  </si>
  <si>
    <t>IN BUDGET</t>
  </si>
  <si>
    <t>PROJECT</t>
  </si>
  <si>
    <t>AMOUNT</t>
  </si>
  <si>
    <t>PAVING - U.P.</t>
  </si>
  <si>
    <t>PAVING - RAMSEY</t>
  </si>
  <si>
    <t>SCOREBOARDS</t>
  </si>
  <si>
    <t>REPAIR STADIUM GARAGE ROOF</t>
  </si>
  <si>
    <t>GHS NORTH PROJECT</t>
  </si>
  <si>
    <t>DOORS - SPORTS COMPLEX</t>
  </si>
  <si>
    <t>DOOR - GHS</t>
  </si>
  <si>
    <t>CARRY OVER FROM 2021-2022</t>
  </si>
  <si>
    <t xml:space="preserve"> CAPITAL PROJECTS NOT IN THE 2022-23 BUDGET</t>
  </si>
  <si>
    <t>NET CARRY OVER FROM 2021-2022</t>
  </si>
  <si>
    <t>9,460,925/</t>
  </si>
  <si>
    <t>INCLUDES A TAX INCREASE * $2,641,508</t>
  </si>
  <si>
    <t>no tax increase</t>
  </si>
  <si>
    <t>bal. budget</t>
  </si>
  <si>
    <t>6,819,417/</t>
  </si>
  <si>
    <t>2016-2017</t>
  </si>
  <si>
    <t>AVG. FUND BAL</t>
  </si>
  <si>
    <t>TOTAL GSD SALARIES $37,149,583 INCLUDES 8 NEW TEACHERS, 1 EQUITY DIRECTOR, KELLY SERVICES  $540,750, INS. BUYOUT $219,974, &amp; RETIREE INS $107,428</t>
  </si>
  <si>
    <t>$12,000 LIBRARY AS RECOMMENDED - ADDITIONAL TEXTBOOKS. ORDERED ADDITIONAL SUPPLIES THAT WHERE OVERLOOKED 2022-2023 WITH THE TRANSITION</t>
  </si>
  <si>
    <t>ORDERED NEW POLE VAULT PAD $ 60,446 - SAFETY CONCERNS. SCORERER'S TABLE GHS SPORTS COMPLEX $ 43,852. &amp; STARTER BLOCKS - POOL $ 58,800. TOTAL $ 163,098.</t>
  </si>
  <si>
    <t>CUSTODIAL MAINT</t>
  </si>
  <si>
    <t>CAPITOL PROJECTS</t>
  </si>
  <si>
    <t>NET INCREASE IN</t>
  </si>
  <si>
    <t>CUSTODAIL &amp; CAPITOL</t>
  </si>
  <si>
    <t>PROJECTS 2023-2024</t>
  </si>
  <si>
    <t>fund bal total</t>
  </si>
  <si>
    <t>to bal budget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</si>
</sst>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  <numFmt numFmtId="165" formatCode="##"/>
    <numFmt numFmtId="166" formatCode="0#"/>
    <numFmt numFmtId="167" formatCode="0###"/>
    <numFmt numFmtId="168" formatCode="00##"/>
    <numFmt numFmtId="169" formatCode="###0"/>
    <numFmt numFmtId="170" formatCode="####"/>
    <numFmt numFmtId="171" formatCode="_(* #,##0.00000_);_(* \(#,##0.00000\);_(* &quot;-&quot;?????_);_(@_)"/>
    <numFmt numFmtId="172" formatCode="_(* #,##0.0000_);_(* \(#,##0.0000\);_(* &quot;-&quot;????_);_(@_)"/>
    <numFmt numFmtId="173" formatCode="_(* #,##0.0000000_);_(* \(#,##0.0000000\);_(* &quot;-&quot;???????_);_(@_)"/>
    <numFmt numFmtId="174" formatCode="_(&quot;$&quot;* #,##0.00000_);_(&quot;$&quot;* \(#,##0.00000\);_(&quot;$&quot;* &quot;-&quot;?????_);_(@_)"/>
    <numFmt numFmtId="175" formatCode="_(* #,##0.000000_);_(* \(#,##0.000000\);_(* &quot;-&quot;??????_);_(@_)"/>
    <numFmt numFmtId="176" formatCode="0.0000"/>
    <numFmt numFmtId="177" formatCode="_(&quot;$&quot;* #,##0.0000000_);_(&quot;$&quot;* \(#,##0.0000000\);_(&quot;$&quot;* &quot;-&quot;???????_);_(@_)"/>
    <numFmt numFmtId="178" formatCode="0.0"/>
    <numFmt numFmtId="179" formatCode="_(&quot;$&quot;* #,##0.0000_);_(&quot;$&quot;* \(#,##0.0000\);_(&quot;$&quot;* &quot;-&quot;????_);_(@_)"/>
    <numFmt numFmtId="180" formatCode="_(&quot;$&quot;* #,##0.000000_);_(&quot;$&quot;* \(#,##0.000000\);_(&quot;$&quot;* &quot;-&quot;??????_);_(@_)"/>
    <numFmt numFmtId="181" formatCode="_(&quot;$&quot;* #,##0.00000000_);_(&quot;$&quot;* \(#,##0.00000000\);_(&quot;$&quot;* &quot;-&quot;????????_);_(@_)"/>
    <numFmt numFmtId="182" formatCode="&quot;$&quot;#,##0"/>
    <numFmt numFmtId="183" formatCode="0.000%"/>
    <numFmt numFmtId="184" formatCode="0####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00"/>
    <numFmt numFmtId="190" formatCode="[$-409]dddd\,\ mmmm\ d\,\ yyyy"/>
    <numFmt numFmtId="191" formatCode="[$-409]d\-mmm\-yy;@"/>
    <numFmt numFmtId="192" formatCode="[$-F800]dddd\,\ mmmm\ dd\,\ yyyy"/>
    <numFmt numFmtId="193" formatCode="[$-409]mmmm\ d\,\ yyyy;@"/>
    <numFmt numFmtId="194" formatCode="&quot;$&quot;#,##0.00"/>
    <numFmt numFmtId="195" formatCode="0.000000"/>
    <numFmt numFmtId="196" formatCode="0.0000000"/>
    <numFmt numFmtId="197" formatCode="0.000"/>
  </numFmts>
  <fonts count="6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u val="double"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3" fontId="0" fillId="0" borderId="0" xfId="42" applyFont="1" applyAlignment="1">
      <alignment/>
    </xf>
    <xf numFmtId="0" fontId="0" fillId="0" borderId="0" xfId="0" applyAlignment="1" quotePrefix="1">
      <alignment horizontal="left"/>
    </xf>
    <xf numFmtId="43" fontId="0" fillId="0" borderId="11" xfId="42" applyFont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 quotePrefix="1">
      <alignment horizontal="center"/>
    </xf>
    <xf numFmtId="43" fontId="0" fillId="0" borderId="0" xfId="42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 quotePrefix="1">
      <alignment horizontal="center"/>
    </xf>
    <xf numFmtId="43" fontId="0" fillId="0" borderId="0" xfId="0" applyNumberFormat="1" applyAlignment="1">
      <alignment/>
    </xf>
    <xf numFmtId="0" fontId="1" fillId="0" borderId="0" xfId="0" applyFont="1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 quotePrefix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3" fontId="1" fillId="0" borderId="0" xfId="0" applyNumberFormat="1" applyFont="1" applyBorder="1" applyAlignment="1">
      <alignment/>
    </xf>
    <xf numFmtId="43" fontId="1" fillId="0" borderId="12" xfId="42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 quotePrefix="1">
      <alignment horizontal="left"/>
    </xf>
    <xf numFmtId="43" fontId="1" fillId="0" borderId="11" xfId="42" applyFont="1" applyBorder="1" applyAlignment="1">
      <alignment/>
    </xf>
    <xf numFmtId="0" fontId="1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13" xfId="0" applyFont="1" applyBorder="1" applyAlignment="1">
      <alignment horizontal="center"/>
    </xf>
    <xf numFmtId="43" fontId="0" fillId="0" borderId="14" xfId="42" applyFont="1" applyBorder="1" applyAlignment="1">
      <alignment/>
    </xf>
    <xf numFmtId="43" fontId="0" fillId="0" borderId="15" xfId="42" applyFont="1" applyBorder="1" applyAlignment="1">
      <alignment/>
    </xf>
    <xf numFmtId="43" fontId="0" fillId="0" borderId="16" xfId="42" applyFont="1" applyBorder="1" applyAlignment="1">
      <alignment/>
    </xf>
    <xf numFmtId="0" fontId="1" fillId="0" borderId="14" xfId="0" applyFont="1" applyBorder="1" applyAlignment="1">
      <alignment horizontal="center"/>
    </xf>
    <xf numFmtId="10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3" fontId="1" fillId="0" borderId="14" xfId="42" applyFont="1" applyBorder="1" applyAlignment="1">
      <alignment/>
    </xf>
    <xf numFmtId="43" fontId="1" fillId="0" borderId="15" xfId="42" applyFont="1" applyBorder="1" applyAlignment="1">
      <alignment/>
    </xf>
    <xf numFmtId="43" fontId="1" fillId="0" borderId="16" xfId="42" applyFont="1" applyBorder="1" applyAlignment="1">
      <alignment/>
    </xf>
    <xf numFmtId="43" fontId="1" fillId="0" borderId="12" xfId="0" applyNumberFormat="1" applyFont="1" applyBorder="1" applyAlignment="1">
      <alignment/>
    </xf>
    <xf numFmtId="43" fontId="0" fillId="0" borderId="12" xfId="0" applyNumberFormat="1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3" xfId="0" applyFont="1" applyFill="1" applyBorder="1" applyAlignment="1" quotePrefix="1">
      <alignment horizontal="center"/>
    </xf>
    <xf numFmtId="0" fontId="1" fillId="0" borderId="13" xfId="0" applyFont="1" applyFill="1" applyBorder="1" applyAlignment="1">
      <alignment horizontal="center"/>
    </xf>
    <xf numFmtId="43" fontId="1" fillId="0" borderId="15" xfId="42" applyFont="1" applyBorder="1" applyAlignment="1" quotePrefix="1">
      <alignment horizontal="center"/>
    </xf>
    <xf numFmtId="43" fontId="1" fillId="0" borderId="0" xfId="42" applyFont="1" applyAlignment="1">
      <alignment/>
    </xf>
    <xf numFmtId="43" fontId="0" fillId="0" borderId="16" xfId="0" applyNumberFormat="1" applyFont="1" applyBorder="1" applyAlignment="1">
      <alignment/>
    </xf>
    <xf numFmtId="165" fontId="1" fillId="0" borderId="11" xfId="0" applyNumberFormat="1" applyFont="1" applyBorder="1" applyAlignment="1">
      <alignment horizontal="center"/>
    </xf>
    <xf numFmtId="43" fontId="0" fillId="0" borderId="0" xfId="42" applyFon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43" fontId="0" fillId="0" borderId="0" xfId="0" applyNumberFormat="1" applyFont="1" applyBorder="1" applyAlignment="1">
      <alignment/>
    </xf>
    <xf numFmtId="0" fontId="1" fillId="0" borderId="14" xfId="0" applyFont="1" applyBorder="1" applyAlignment="1" quotePrefix="1">
      <alignment horizontal="center"/>
    </xf>
    <xf numFmtId="0" fontId="0" fillId="0" borderId="19" xfId="0" applyBorder="1" applyAlignment="1">
      <alignment/>
    </xf>
    <xf numFmtId="0" fontId="1" fillId="0" borderId="15" xfId="0" applyFont="1" applyBorder="1" applyAlignment="1" quotePrefix="1">
      <alignment horizontal="center"/>
    </xf>
    <xf numFmtId="14" fontId="1" fillId="0" borderId="14" xfId="0" applyNumberFormat="1" applyFont="1" applyBorder="1" applyAlignment="1">
      <alignment horizontal="center"/>
    </xf>
    <xf numFmtId="43" fontId="0" fillId="0" borderId="15" xfId="42" applyFont="1" applyBorder="1" applyAlignment="1" quotePrefix="1">
      <alignment horizontal="center"/>
    </xf>
    <xf numFmtId="0" fontId="1" fillId="0" borderId="20" xfId="0" applyFont="1" applyBorder="1" applyAlignment="1" quotePrefix="1">
      <alignment horizontal="center"/>
    </xf>
    <xf numFmtId="14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3" fontId="0" fillId="0" borderId="21" xfId="42" applyFont="1" applyBorder="1" applyAlignment="1">
      <alignment/>
    </xf>
    <xf numFmtId="43" fontId="0" fillId="0" borderId="20" xfId="42" applyFont="1" applyBorder="1" applyAlignment="1">
      <alignment/>
    </xf>
    <xf numFmtId="43" fontId="0" fillId="0" borderId="20" xfId="42" applyFont="1" applyBorder="1" applyAlignment="1" quotePrefix="1">
      <alignment horizontal="center"/>
    </xf>
    <xf numFmtId="43" fontId="0" fillId="0" borderId="23" xfId="42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43" fontId="0" fillId="0" borderId="11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44" fontId="0" fillId="0" borderId="0" xfId="44" applyFont="1" applyAlignment="1">
      <alignment/>
    </xf>
    <xf numFmtId="44" fontId="1" fillId="0" borderId="0" xfId="44" applyFont="1" applyAlignment="1">
      <alignment/>
    </xf>
    <xf numFmtId="44" fontId="1" fillId="0" borderId="0" xfId="44" applyFont="1" applyBorder="1" applyAlignment="1">
      <alignment/>
    </xf>
    <xf numFmtId="44" fontId="0" fillId="0" borderId="0" xfId="44" applyFont="1" applyBorder="1" applyAlignment="1">
      <alignment/>
    </xf>
    <xf numFmtId="43" fontId="1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3" fontId="1" fillId="0" borderId="0" xfId="0" applyNumberFormat="1" applyFont="1" applyBorder="1" applyAlignment="1">
      <alignment horizontal="right"/>
    </xf>
    <xf numFmtId="43" fontId="1" fillId="0" borderId="11" xfId="0" applyNumberFormat="1" applyFont="1" applyBorder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43" fontId="1" fillId="0" borderId="0" xfId="42" applyFont="1" applyBorder="1" applyAlignment="1">
      <alignment horizontal="left"/>
    </xf>
    <xf numFmtId="43" fontId="1" fillId="0" borderId="11" xfId="42" applyFont="1" applyBorder="1" applyAlignment="1">
      <alignment horizontal="center"/>
    </xf>
    <xf numFmtId="43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4" xfId="0" applyBorder="1" applyAlignment="1">
      <alignment/>
    </xf>
    <xf numFmtId="43" fontId="0" fillId="0" borderId="14" xfId="42" applyFont="1" applyBorder="1" applyAlignment="1" quotePrefix="1">
      <alignment horizontal="center"/>
    </xf>
    <xf numFmtId="43" fontId="0" fillId="0" borderId="14" xfId="0" applyNumberFormat="1" applyBorder="1" applyAlignment="1">
      <alignment/>
    </xf>
    <xf numFmtId="0" fontId="0" fillId="0" borderId="14" xfId="0" applyBorder="1" applyAlignment="1" quotePrefix="1">
      <alignment horizontal="center"/>
    </xf>
    <xf numFmtId="43" fontId="1" fillId="0" borderId="14" xfId="0" applyNumberFormat="1" applyFont="1" applyBorder="1" applyAlignment="1">
      <alignment/>
    </xf>
    <xf numFmtId="43" fontId="0" fillId="0" borderId="14" xfId="0" applyNumberFormat="1" applyFont="1" applyBorder="1" applyAlignment="1">
      <alignment/>
    </xf>
    <xf numFmtId="14" fontId="1" fillId="0" borderId="0" xfId="0" applyNumberFormat="1" applyFont="1" applyAlignment="1">
      <alignment horizontal="center"/>
    </xf>
    <xf numFmtId="43" fontId="0" fillId="0" borderId="14" xfId="42" applyFont="1" applyFill="1" applyBorder="1" applyAlignment="1">
      <alignment/>
    </xf>
    <xf numFmtId="0" fontId="0" fillId="0" borderId="21" xfId="0" applyBorder="1" applyAlignment="1">
      <alignment/>
    </xf>
    <xf numFmtId="43" fontId="0" fillId="0" borderId="20" xfId="42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43" fontId="1" fillId="0" borderId="11" xfId="42" applyFont="1" applyBorder="1" applyAlignment="1">
      <alignment horizontal="left"/>
    </xf>
    <xf numFmtId="0" fontId="1" fillId="0" borderId="20" xfId="0" applyFont="1" applyFill="1" applyBorder="1" applyAlignment="1">
      <alignment horizontal="center"/>
    </xf>
    <xf numFmtId="43" fontId="0" fillId="0" borderId="15" xfId="42" applyFont="1" applyFill="1" applyBorder="1" applyAlignment="1">
      <alignment/>
    </xf>
    <xf numFmtId="14" fontId="1" fillId="0" borderId="25" xfId="0" applyNumberFormat="1" applyFont="1" applyBorder="1" applyAlignment="1">
      <alignment horizontal="center"/>
    </xf>
    <xf numFmtId="43" fontId="1" fillId="0" borderId="0" xfId="0" applyNumberFormat="1" applyFont="1" applyAlignment="1">
      <alignment/>
    </xf>
    <xf numFmtId="43" fontId="1" fillId="0" borderId="26" xfId="42" applyFont="1" applyBorder="1" applyAlignment="1">
      <alignment/>
    </xf>
    <xf numFmtId="10" fontId="1" fillId="0" borderId="18" xfId="0" applyNumberFormat="1" applyFont="1" applyBorder="1" applyAlignment="1">
      <alignment/>
    </xf>
    <xf numFmtId="10" fontId="1" fillId="0" borderId="14" xfId="0" applyNumberFormat="1" applyFont="1" applyBorder="1" applyAlignment="1">
      <alignment/>
    </xf>
    <xf numFmtId="10" fontId="1" fillId="0" borderId="15" xfId="0" applyNumberFormat="1" applyFont="1" applyBorder="1" applyAlignment="1">
      <alignment/>
    </xf>
    <xf numFmtId="10" fontId="1" fillId="0" borderId="16" xfId="0" applyNumberFormat="1" applyFont="1" applyBorder="1" applyAlignment="1">
      <alignment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176" fontId="1" fillId="0" borderId="0" xfId="0" applyNumberFormat="1" applyFont="1" applyAlignment="1">
      <alignment horizontal="center"/>
    </xf>
    <xf numFmtId="44" fontId="1" fillId="0" borderId="0" xfId="44" applyFont="1" applyFill="1" applyBorder="1" applyAlignment="1">
      <alignment/>
    </xf>
    <xf numFmtId="43" fontId="1" fillId="0" borderId="16" xfId="0" applyNumberFormat="1" applyFont="1" applyBorder="1" applyAlignment="1">
      <alignment/>
    </xf>
    <xf numFmtId="0" fontId="0" fillId="0" borderId="11" xfId="0" applyFont="1" applyBorder="1" applyAlignment="1" quotePrefix="1">
      <alignment horizontal="center"/>
    </xf>
    <xf numFmtId="43" fontId="0" fillId="0" borderId="11" xfId="42" applyFont="1" applyBorder="1" applyAlignment="1" quotePrefix="1">
      <alignment horizontal="center"/>
    </xf>
    <xf numFmtId="43" fontId="0" fillId="0" borderId="20" xfId="42" applyFont="1" applyBorder="1" applyAlignment="1" quotePrefix="1">
      <alignment horizontal="center"/>
    </xf>
    <xf numFmtId="0" fontId="0" fillId="0" borderId="27" xfId="0" applyBorder="1" applyAlignment="1">
      <alignment/>
    </xf>
    <xf numFmtId="0" fontId="1" fillId="0" borderId="17" xfId="0" applyFont="1" applyBorder="1" applyAlignment="1">
      <alignment/>
    </xf>
    <xf numFmtId="0" fontId="57" fillId="0" borderId="0" xfId="0" applyFont="1" applyAlignment="1">
      <alignment/>
    </xf>
    <xf numFmtId="44" fontId="1" fillId="0" borderId="0" xfId="44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3" fontId="1" fillId="0" borderId="15" xfId="0" applyNumberFormat="1" applyFont="1" applyBorder="1" applyAlignment="1">
      <alignment/>
    </xf>
    <xf numFmtId="43" fontId="0" fillId="0" borderId="15" xfId="42" applyFont="1" applyBorder="1" applyAlignment="1" quotePrefix="1">
      <alignment horizontal="center"/>
    </xf>
    <xf numFmtId="0" fontId="0" fillId="0" borderId="15" xfId="0" applyFont="1" applyBorder="1" applyAlignment="1" quotePrefix="1">
      <alignment horizontal="center"/>
    </xf>
    <xf numFmtId="0" fontId="1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1" fillId="0" borderId="28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30" xfId="0" applyBorder="1" applyAlignment="1">
      <alignment/>
    </xf>
    <xf numFmtId="43" fontId="0" fillId="0" borderId="15" xfId="0" applyNumberFormat="1" applyFont="1" applyBorder="1" applyAlignment="1">
      <alignment/>
    </xf>
    <xf numFmtId="0" fontId="0" fillId="0" borderId="31" xfId="0" applyBorder="1" applyAlignment="1">
      <alignment/>
    </xf>
    <xf numFmtId="43" fontId="0" fillId="0" borderId="32" xfId="42" applyFont="1" applyBorder="1" applyAlignment="1">
      <alignment/>
    </xf>
    <xf numFmtId="176" fontId="0" fillId="0" borderId="0" xfId="0" applyNumberFormat="1" applyAlignment="1">
      <alignment horizontal="center"/>
    </xf>
    <xf numFmtId="43" fontId="1" fillId="0" borderId="14" xfId="0" applyNumberFormat="1" applyFont="1" applyBorder="1" applyAlignment="1">
      <alignment horizontal="center"/>
    </xf>
    <xf numFmtId="44" fontId="0" fillId="0" borderId="0" xfId="44" applyFont="1" applyFill="1" applyBorder="1" applyAlignment="1">
      <alignment horizontal="left"/>
    </xf>
    <xf numFmtId="4" fontId="0" fillId="0" borderId="0" xfId="0" applyNumberFormat="1" applyAlignment="1">
      <alignment/>
    </xf>
    <xf numFmtId="0" fontId="1" fillId="0" borderId="33" xfId="0" applyFont="1" applyBorder="1" applyAlignment="1">
      <alignment/>
    </xf>
    <xf numFmtId="0" fontId="0" fillId="0" borderId="34" xfId="0" applyBorder="1" applyAlignment="1">
      <alignment/>
    </xf>
    <xf numFmtId="189" fontId="0" fillId="0" borderId="31" xfId="0" applyNumberFormat="1" applyBorder="1" applyAlignment="1">
      <alignment/>
    </xf>
    <xf numFmtId="189" fontId="1" fillId="0" borderId="31" xfId="0" applyNumberFormat="1" applyFont="1" applyBorder="1" applyAlignment="1">
      <alignment/>
    </xf>
    <xf numFmtId="0" fontId="1" fillId="0" borderId="27" xfId="0" applyFont="1" applyBorder="1" applyAlignment="1">
      <alignment/>
    </xf>
    <xf numFmtId="189" fontId="1" fillId="0" borderId="35" xfId="0" applyNumberFormat="1" applyFont="1" applyBorder="1" applyAlignment="1">
      <alignment/>
    </xf>
    <xf numFmtId="0" fontId="1" fillId="0" borderId="31" xfId="0" applyFont="1" applyBorder="1" applyAlignment="1">
      <alignment/>
    </xf>
    <xf numFmtId="189" fontId="1" fillId="0" borderId="36" xfId="0" applyNumberFormat="1" applyFont="1" applyBorder="1" applyAlignment="1">
      <alignment/>
    </xf>
    <xf numFmtId="0" fontId="1" fillId="0" borderId="37" xfId="0" applyFont="1" applyBorder="1" applyAlignment="1">
      <alignment/>
    </xf>
    <xf numFmtId="8" fontId="1" fillId="0" borderId="38" xfId="0" applyNumberFormat="1" applyFont="1" applyBorder="1" applyAlignment="1">
      <alignment/>
    </xf>
    <xf numFmtId="43" fontId="6" fillId="0" borderId="0" xfId="42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24" xfId="0" applyFont="1" applyBorder="1" applyAlignment="1">
      <alignment/>
    </xf>
    <xf numFmtId="14" fontId="7" fillId="0" borderId="0" xfId="0" applyNumberFormat="1" applyFont="1" applyAlignment="1">
      <alignment/>
    </xf>
    <xf numFmtId="0" fontId="6" fillId="0" borderId="10" xfId="0" applyFont="1" applyBorder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43" fontId="7" fillId="0" borderId="0" xfId="42" applyFont="1" applyAlignment="1">
      <alignment horizontal="center"/>
    </xf>
    <xf numFmtId="0" fontId="7" fillId="0" borderId="3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9" fontId="7" fillId="0" borderId="0" xfId="42" applyNumberFormat="1" applyFont="1" applyBorder="1" applyAlignment="1">
      <alignment horizontal="center"/>
    </xf>
    <xf numFmtId="43" fontId="7" fillId="0" borderId="0" xfId="42" applyFont="1" applyBorder="1" applyAlignment="1">
      <alignment horizontal="center"/>
    </xf>
    <xf numFmtId="0" fontId="7" fillId="0" borderId="0" xfId="0" applyFont="1" applyAlignment="1" quotePrefix="1">
      <alignment horizontal="left"/>
    </xf>
    <xf numFmtId="43" fontId="7" fillId="0" borderId="0" xfId="0" applyNumberFormat="1" applyFont="1" applyAlignment="1">
      <alignment/>
    </xf>
    <xf numFmtId="43" fontId="7" fillId="0" borderId="0" xfId="42" applyFont="1" applyAlignment="1">
      <alignment/>
    </xf>
    <xf numFmtId="43" fontId="7" fillId="0" borderId="14" xfId="42" applyFont="1" applyBorder="1" applyAlignment="1">
      <alignment/>
    </xf>
    <xf numFmtId="39" fontId="7" fillId="0" borderId="11" xfId="42" applyNumberFormat="1" applyFont="1" applyBorder="1" applyAlignment="1">
      <alignment/>
    </xf>
    <xf numFmtId="39" fontId="7" fillId="0" borderId="0" xfId="42" applyNumberFormat="1" applyFont="1" applyAlignment="1">
      <alignment/>
    </xf>
    <xf numFmtId="0" fontId="6" fillId="0" borderId="0" xfId="0" applyFont="1" applyAlignment="1">
      <alignment horizontal="left"/>
    </xf>
    <xf numFmtId="43" fontId="6" fillId="0" borderId="0" xfId="0" applyNumberFormat="1" applyFont="1" applyAlignment="1">
      <alignment/>
    </xf>
    <xf numFmtId="43" fontId="6" fillId="0" borderId="11" xfId="0" applyNumberFormat="1" applyFont="1" applyBorder="1" applyAlignment="1">
      <alignment/>
    </xf>
    <xf numFmtId="43" fontId="6" fillId="0" borderId="26" xfId="42" applyFont="1" applyBorder="1" applyAlignment="1">
      <alignment/>
    </xf>
    <xf numFmtId="43" fontId="6" fillId="0" borderId="11" xfId="42" applyFont="1" applyBorder="1" applyAlignment="1">
      <alignment/>
    </xf>
    <xf numFmtId="171" fontId="7" fillId="0" borderId="11" xfId="42" applyNumberFormat="1" applyFont="1" applyBorder="1" applyAlignment="1">
      <alignment/>
    </xf>
    <xf numFmtId="0" fontId="7" fillId="0" borderId="0" xfId="0" applyFont="1" applyAlignment="1">
      <alignment horizontal="left"/>
    </xf>
    <xf numFmtId="43" fontId="6" fillId="0" borderId="11" xfId="42" applyFont="1" applyBorder="1" applyAlignment="1">
      <alignment horizontal="left"/>
    </xf>
    <xf numFmtId="43" fontId="7" fillId="0" borderId="11" xfId="42" applyFont="1" applyBorder="1" applyAlignment="1">
      <alignment/>
    </xf>
    <xf numFmtId="43" fontId="7" fillId="0" borderId="11" xfId="42" applyFont="1" applyBorder="1" applyAlignment="1" quotePrefix="1">
      <alignment horizontal="center"/>
    </xf>
    <xf numFmtId="43" fontId="7" fillId="0" borderId="14" xfId="42" applyFont="1" applyBorder="1" applyAlignment="1" quotePrefix="1">
      <alignment horizontal="center"/>
    </xf>
    <xf numFmtId="43" fontId="6" fillId="0" borderId="0" xfId="42" applyFont="1" applyBorder="1" applyAlignment="1">
      <alignment horizontal="left"/>
    </xf>
    <xf numFmtId="43" fontId="7" fillId="0" borderId="0" xfId="42" applyFont="1" applyBorder="1" applyAlignment="1" quotePrefix="1">
      <alignment horizontal="center"/>
    </xf>
    <xf numFmtId="43" fontId="7" fillId="0" borderId="11" xfId="42" applyFont="1" applyBorder="1" applyAlignment="1">
      <alignment horizontal="center"/>
    </xf>
    <xf numFmtId="43" fontId="7" fillId="0" borderId="0" xfId="42" applyFont="1" applyBorder="1" applyAlignment="1">
      <alignment/>
    </xf>
    <xf numFmtId="0" fontId="7" fillId="0" borderId="14" xfId="0" applyFont="1" applyBorder="1" applyAlignment="1">
      <alignment/>
    </xf>
    <xf numFmtId="43" fontId="7" fillId="0" borderId="14" xfId="0" applyNumberFormat="1" applyFont="1" applyBorder="1" applyAlignment="1">
      <alignment/>
    </xf>
    <xf numFmtId="0" fontId="7" fillId="0" borderId="11" xfId="0" applyFont="1" applyBorder="1" applyAlignment="1" quotePrefix="1">
      <alignment horizontal="center"/>
    </xf>
    <xf numFmtId="0" fontId="7" fillId="0" borderId="14" xfId="0" applyFont="1" applyBorder="1" applyAlignment="1" quotePrefix="1">
      <alignment horizontal="center"/>
    </xf>
    <xf numFmtId="0" fontId="7" fillId="0" borderId="0" xfId="0" applyFont="1" applyBorder="1" applyAlignment="1" quotePrefix="1">
      <alignment horizontal="center"/>
    </xf>
    <xf numFmtId="43" fontId="7" fillId="0" borderId="0" xfId="0" applyNumberFormat="1" applyFont="1" applyBorder="1" applyAlignment="1">
      <alignment/>
    </xf>
    <xf numFmtId="43" fontId="6" fillId="0" borderId="14" xfId="0" applyNumberFormat="1" applyFont="1" applyBorder="1" applyAlignment="1">
      <alignment/>
    </xf>
    <xf numFmtId="43" fontId="6" fillId="0" borderId="0" xfId="0" applyNumberFormat="1" applyFont="1" applyBorder="1" applyAlignment="1">
      <alignment/>
    </xf>
    <xf numFmtId="0" fontId="6" fillId="0" borderId="0" xfId="0" applyFont="1" applyAlignment="1" quotePrefix="1">
      <alignment horizontal="left"/>
    </xf>
    <xf numFmtId="43" fontId="6" fillId="0" borderId="0" xfId="0" applyNumberFormat="1" applyFont="1" applyBorder="1" applyAlignment="1">
      <alignment horizontal="center"/>
    </xf>
    <xf numFmtId="43" fontId="7" fillId="0" borderId="11" xfId="0" applyNumberFormat="1" applyFont="1" applyBorder="1" applyAlignment="1">
      <alignment/>
    </xf>
    <xf numFmtId="43" fontId="6" fillId="0" borderId="14" xfId="0" applyNumberFormat="1" applyFont="1" applyBorder="1" applyAlignment="1">
      <alignment horizontal="center"/>
    </xf>
    <xf numFmtId="43" fontId="6" fillId="0" borderId="11" xfId="0" applyNumberFormat="1" applyFont="1" applyBorder="1" applyAlignment="1">
      <alignment horizontal="center"/>
    </xf>
    <xf numFmtId="43" fontId="6" fillId="0" borderId="12" xfId="0" applyNumberFormat="1" applyFont="1" applyBorder="1" applyAlignment="1">
      <alignment/>
    </xf>
    <xf numFmtId="43" fontId="7" fillId="0" borderId="12" xfId="0" applyNumberFormat="1" applyFont="1" applyBorder="1" applyAlignment="1">
      <alignment/>
    </xf>
    <xf numFmtId="43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3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 quotePrefix="1">
      <alignment horizontal="center"/>
    </xf>
    <xf numFmtId="0" fontId="9" fillId="0" borderId="10" xfId="0" applyFont="1" applyBorder="1" applyAlignment="1">
      <alignment horizontal="center"/>
    </xf>
    <xf numFmtId="0" fontId="9" fillId="0" borderId="39" xfId="0" applyFont="1" applyFill="1" applyBorder="1" applyAlignment="1" quotePrefix="1">
      <alignment horizontal="center"/>
    </xf>
    <xf numFmtId="0" fontId="9" fillId="0" borderId="10" xfId="0" applyFont="1" applyFill="1" applyBorder="1" applyAlignment="1" quotePrefix="1">
      <alignment horizontal="center"/>
    </xf>
    <xf numFmtId="0" fontId="9" fillId="0" borderId="10" xfId="0" applyFont="1" applyBorder="1" applyAlignment="1" quotePrefix="1">
      <alignment horizontal="center"/>
    </xf>
    <xf numFmtId="0" fontId="9" fillId="0" borderId="40" xfId="0" applyFont="1" applyBorder="1" applyAlignment="1">
      <alignment horizontal="center"/>
    </xf>
    <xf numFmtId="44" fontId="8" fillId="0" borderId="31" xfId="44" applyFont="1" applyFill="1" applyBorder="1" applyAlignment="1">
      <alignment horizontal="center"/>
    </xf>
    <xf numFmtId="44" fontId="8" fillId="0" borderId="0" xfId="44" applyFont="1" applyFill="1" applyBorder="1" applyAlignment="1">
      <alignment horizontal="center"/>
    </xf>
    <xf numFmtId="44" fontId="9" fillId="0" borderId="0" xfId="44" applyFont="1" applyFill="1" applyBorder="1" applyAlignment="1">
      <alignment horizontal="center"/>
    </xf>
    <xf numFmtId="44" fontId="9" fillId="0" borderId="0" xfId="44" applyFont="1" applyBorder="1" applyAlignment="1" quotePrefix="1">
      <alignment horizontal="center"/>
    </xf>
    <xf numFmtId="0" fontId="9" fillId="0" borderId="0" xfId="0" applyFont="1" applyBorder="1" applyAlignment="1" quotePrefix="1">
      <alignment horizontal="center"/>
    </xf>
    <xf numFmtId="44" fontId="8" fillId="0" borderId="31" xfId="44" applyFont="1" applyBorder="1" applyAlignment="1">
      <alignment/>
    </xf>
    <xf numFmtId="44" fontId="8" fillId="0" borderId="0" xfId="44" applyFont="1" applyBorder="1" applyAlignment="1">
      <alignment/>
    </xf>
    <xf numFmtId="44" fontId="9" fillId="0" borderId="0" xfId="44" applyFont="1" applyBorder="1" applyAlignment="1">
      <alignment/>
    </xf>
    <xf numFmtId="44" fontId="8" fillId="0" borderId="0" xfId="44" applyFont="1" applyAlignment="1">
      <alignment/>
    </xf>
    <xf numFmtId="10" fontId="8" fillId="0" borderId="0" xfId="0" applyNumberFormat="1" applyFont="1" applyAlignment="1">
      <alignment/>
    </xf>
    <xf numFmtId="0" fontId="58" fillId="0" borderId="0" xfId="0" applyFont="1" applyAlignment="1">
      <alignment/>
    </xf>
    <xf numFmtId="0" fontId="8" fillId="0" borderId="19" xfId="0" applyFont="1" applyBorder="1" applyAlignment="1">
      <alignment horizontal="left"/>
    </xf>
    <xf numFmtId="44" fontId="8" fillId="0" borderId="35" xfId="44" applyFont="1" applyBorder="1" applyAlignment="1">
      <alignment/>
    </xf>
    <xf numFmtId="44" fontId="8" fillId="0" borderId="11" xfId="44" applyFont="1" applyBorder="1" applyAlignment="1">
      <alignment/>
    </xf>
    <xf numFmtId="44" fontId="9" fillId="0" borderId="11" xfId="44" applyFont="1" applyBorder="1" applyAlignment="1">
      <alignment/>
    </xf>
    <xf numFmtId="0" fontId="9" fillId="0" borderId="0" xfId="0" applyFont="1" applyAlignment="1" quotePrefix="1">
      <alignment horizontal="right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9" fillId="0" borderId="31" xfId="0" applyFont="1" applyFill="1" applyBorder="1" applyAlignment="1" quotePrefix="1">
      <alignment horizontal="center"/>
    </xf>
    <xf numFmtId="0" fontId="9" fillId="0" borderId="0" xfId="0" applyFont="1" applyFill="1" applyBorder="1" applyAlignment="1" quotePrefix="1">
      <alignment horizontal="center"/>
    </xf>
    <xf numFmtId="10" fontId="8" fillId="0" borderId="11" xfId="0" applyNumberFormat="1" applyFont="1" applyBorder="1" applyAlignment="1">
      <alignment/>
    </xf>
    <xf numFmtId="165" fontId="9" fillId="0" borderId="0" xfId="0" applyNumberFormat="1" applyFont="1" applyAlignment="1" quotePrefix="1">
      <alignment horizontal="center"/>
    </xf>
    <xf numFmtId="44" fontId="8" fillId="0" borderId="42" xfId="44" applyFont="1" applyBorder="1" applyAlignment="1">
      <alignment/>
    </xf>
    <xf numFmtId="44" fontId="8" fillId="0" borderId="12" xfId="44" applyFont="1" applyBorder="1" applyAlignment="1">
      <alignment/>
    </xf>
    <xf numFmtId="44" fontId="9" fillId="0" borderId="12" xfId="44" applyFont="1" applyBorder="1" applyAlignment="1">
      <alignment/>
    </xf>
    <xf numFmtId="10" fontId="9" fillId="0" borderId="12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8" fontId="11" fillId="0" borderId="0" xfId="0" applyNumberFormat="1" applyFont="1" applyBorder="1" applyAlignment="1">
      <alignment/>
    </xf>
    <xf numFmtId="8" fontId="11" fillId="0" borderId="11" xfId="0" applyNumberFormat="1" applyFont="1" applyBorder="1" applyAlignment="1">
      <alignment/>
    </xf>
    <xf numFmtId="8" fontId="11" fillId="0" borderId="0" xfId="0" applyNumberFormat="1" applyFont="1" applyAlignment="1">
      <alignment/>
    </xf>
    <xf numFmtId="8" fontId="5" fillId="0" borderId="12" xfId="0" applyNumberFormat="1" applyFont="1" applyBorder="1" applyAlignment="1">
      <alignment/>
    </xf>
    <xf numFmtId="10" fontId="9" fillId="0" borderId="0" xfId="0" applyNumberFormat="1" applyFont="1" applyBorder="1" applyAlignment="1">
      <alignment/>
    </xf>
    <xf numFmtId="43" fontId="1" fillId="0" borderId="0" xfId="42" applyFont="1" applyBorder="1" applyAlignment="1">
      <alignment/>
    </xf>
    <xf numFmtId="10" fontId="1" fillId="0" borderId="0" xfId="42" applyNumberFormat="1" applyFont="1" applyBorder="1" applyAlignment="1">
      <alignment/>
    </xf>
    <xf numFmtId="8" fontId="1" fillId="0" borderId="43" xfId="0" applyNumberFormat="1" applyFont="1" applyBorder="1" applyAlignment="1">
      <alignment/>
    </xf>
    <xf numFmtId="44" fontId="5" fillId="0" borderId="21" xfId="44" applyFont="1" applyBorder="1" applyAlignment="1">
      <alignment/>
    </xf>
    <xf numFmtId="0" fontId="5" fillId="0" borderId="21" xfId="44" applyNumberFormat="1" applyFont="1" applyBorder="1" applyAlignment="1">
      <alignment vertical="center"/>
    </xf>
    <xf numFmtId="8" fontId="5" fillId="0" borderId="21" xfId="0" applyNumberFormat="1" applyFont="1" applyBorder="1" applyAlignment="1">
      <alignment/>
    </xf>
    <xf numFmtId="8" fontId="1" fillId="0" borderId="0" xfId="0" applyNumberFormat="1" applyFont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44" xfId="0" applyFont="1" applyFill="1" applyBorder="1" applyAlignment="1" quotePrefix="1">
      <alignment horizontal="center"/>
    </xf>
    <xf numFmtId="44" fontId="9" fillId="0" borderId="27" xfId="44" applyFont="1" applyFill="1" applyBorder="1" applyAlignment="1">
      <alignment horizontal="center"/>
    </xf>
    <xf numFmtId="44" fontId="9" fillId="0" borderId="27" xfId="44" applyFont="1" applyBorder="1" applyAlignment="1">
      <alignment/>
    </xf>
    <xf numFmtId="44" fontId="9" fillId="0" borderId="32" xfId="44" applyFont="1" applyBorder="1" applyAlignment="1">
      <alignment/>
    </xf>
    <xf numFmtId="44" fontId="8" fillId="0" borderId="27" xfId="44" applyFont="1" applyBorder="1" applyAlignment="1">
      <alignment/>
    </xf>
    <xf numFmtId="0" fontId="9" fillId="0" borderId="27" xfId="0" applyFont="1" applyFill="1" applyBorder="1" applyAlignment="1" quotePrefix="1">
      <alignment horizontal="center"/>
    </xf>
    <xf numFmtId="0" fontId="8" fillId="0" borderId="27" xfId="0" applyFont="1" applyBorder="1" applyAlignment="1">
      <alignment/>
    </xf>
    <xf numFmtId="44" fontId="9" fillId="0" borderId="45" xfId="44" applyFont="1" applyBorder="1" applyAlignment="1">
      <alignment/>
    </xf>
    <xf numFmtId="0" fontId="0" fillId="0" borderId="32" xfId="0" applyBorder="1" applyAlignment="1">
      <alignment/>
    </xf>
    <xf numFmtId="8" fontId="5" fillId="0" borderId="0" xfId="0" applyNumberFormat="1" applyFont="1" applyBorder="1" applyAlignment="1">
      <alignment/>
    </xf>
    <xf numFmtId="166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left"/>
    </xf>
    <xf numFmtId="8" fontId="5" fillId="0" borderId="46" xfId="0" applyNumberFormat="1" applyFont="1" applyBorder="1" applyAlignment="1">
      <alignment/>
    </xf>
    <xf numFmtId="8" fontId="5" fillId="0" borderId="22" xfId="0" applyNumberFormat="1" applyFont="1" applyBorder="1" applyAlignment="1">
      <alignment/>
    </xf>
    <xf numFmtId="166" fontId="1" fillId="0" borderId="0" xfId="0" applyNumberFormat="1" applyFont="1" applyAlignment="1" quotePrefix="1">
      <alignment horizontal="left"/>
    </xf>
    <xf numFmtId="166" fontId="1" fillId="0" borderId="0" xfId="0" applyNumberFormat="1" applyFont="1" applyAlignment="1">
      <alignment horizontal="left"/>
    </xf>
    <xf numFmtId="8" fontId="5" fillId="0" borderId="47" xfId="0" applyNumberFormat="1" applyFont="1" applyBorder="1" applyAlignment="1">
      <alignment/>
    </xf>
    <xf numFmtId="8" fontId="1" fillId="0" borderId="11" xfId="0" applyNumberFormat="1" applyFont="1" applyBorder="1" applyAlignment="1">
      <alignment/>
    </xf>
    <xf numFmtId="8" fontId="0" fillId="0" borderId="27" xfId="44" applyNumberFormat="1" applyFont="1" applyBorder="1" applyAlignment="1">
      <alignment/>
    </xf>
    <xf numFmtId="8" fontId="1" fillId="0" borderId="27" xfId="44" applyNumberFormat="1" applyFont="1" applyBorder="1" applyAlignment="1">
      <alignment/>
    </xf>
    <xf numFmtId="43" fontId="0" fillId="0" borderId="27" xfId="42" applyFont="1" applyBorder="1" applyAlignment="1">
      <alignment/>
    </xf>
    <xf numFmtId="43" fontId="1" fillId="0" borderId="45" xfId="42" applyFont="1" applyBorder="1" applyAlignment="1">
      <alignment/>
    </xf>
    <xf numFmtId="0" fontId="0" fillId="0" borderId="18" xfId="0" applyBorder="1" applyAlignment="1">
      <alignment/>
    </xf>
    <xf numFmtId="0" fontId="0" fillId="0" borderId="48" xfId="0" applyBorder="1" applyAlignment="1">
      <alignment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50" xfId="0" applyFont="1" applyFill="1" applyBorder="1" applyAlignment="1" quotePrefix="1">
      <alignment horizontal="center"/>
    </xf>
    <xf numFmtId="0" fontId="1" fillId="0" borderId="48" xfId="0" applyFont="1" applyBorder="1" applyAlignment="1" quotePrefix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50" xfId="0" applyFont="1" applyBorder="1" applyAlignment="1" quotePrefix="1">
      <alignment horizontal="center"/>
    </xf>
    <xf numFmtId="44" fontId="1" fillId="0" borderId="34" xfId="44" applyFont="1" applyBorder="1" applyAlignment="1">
      <alignment/>
    </xf>
    <xf numFmtId="44" fontId="1" fillId="0" borderId="27" xfId="44" applyFont="1" applyBorder="1" applyAlignment="1">
      <alignment/>
    </xf>
    <xf numFmtId="44" fontId="1" fillId="0" borderId="27" xfId="44" applyFont="1" applyFill="1" applyBorder="1" applyAlignment="1">
      <alignment/>
    </xf>
    <xf numFmtId="44" fontId="1" fillId="0" borderId="32" xfId="44" applyFont="1" applyBorder="1" applyAlignment="1">
      <alignment/>
    </xf>
    <xf numFmtId="44" fontId="1" fillId="0" borderId="45" xfId="44" applyFont="1" applyBorder="1" applyAlignment="1">
      <alignment/>
    </xf>
    <xf numFmtId="44" fontId="6" fillId="0" borderId="11" xfId="44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31" xfId="0" applyFont="1" applyBorder="1" applyAlignment="1">
      <alignment/>
    </xf>
    <xf numFmtId="0" fontId="12" fillId="0" borderId="27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27" xfId="0" applyFont="1" applyBorder="1" applyAlignment="1">
      <alignment/>
    </xf>
    <xf numFmtId="4" fontId="12" fillId="0" borderId="27" xfId="0" applyNumberFormat="1" applyFont="1" applyBorder="1" applyAlignment="1">
      <alignment/>
    </xf>
    <xf numFmtId="4" fontId="12" fillId="0" borderId="0" xfId="0" applyNumberFormat="1" applyFont="1" applyAlignment="1">
      <alignment/>
    </xf>
    <xf numFmtId="0" fontId="13" fillId="0" borderId="31" xfId="0" applyFont="1" applyBorder="1" applyAlignment="1">
      <alignment/>
    </xf>
    <xf numFmtId="4" fontId="12" fillId="0" borderId="0" xfId="0" applyNumberFormat="1" applyFont="1" applyAlignment="1">
      <alignment horizontal="center"/>
    </xf>
    <xf numFmtId="4" fontId="12" fillId="0" borderId="11" xfId="0" applyNumberFormat="1" applyFont="1" applyBorder="1" applyAlignment="1">
      <alignment/>
    </xf>
    <xf numFmtId="4" fontId="12" fillId="0" borderId="11" xfId="0" applyNumberFormat="1" applyFont="1" applyBorder="1" applyAlignment="1">
      <alignment horizontal="center"/>
    </xf>
    <xf numFmtId="4" fontId="12" fillId="0" borderId="35" xfId="0" applyNumberFormat="1" applyFont="1" applyBorder="1" applyAlignment="1">
      <alignment/>
    </xf>
    <xf numFmtId="4" fontId="12" fillId="0" borderId="32" xfId="0" applyNumberFormat="1" applyFont="1" applyBorder="1" applyAlignment="1">
      <alignment/>
    </xf>
    <xf numFmtId="4" fontId="12" fillId="0" borderId="0" xfId="0" applyNumberFormat="1" applyFont="1" applyBorder="1" applyAlignment="1">
      <alignment horizontal="center"/>
    </xf>
    <xf numFmtId="4" fontId="12" fillId="0" borderId="32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/>
    </xf>
    <xf numFmtId="0" fontId="12" fillId="0" borderId="31" xfId="0" applyFont="1" applyBorder="1" applyAlignment="1">
      <alignment horizontal="right"/>
    </xf>
    <xf numFmtId="0" fontId="12" fillId="0" borderId="27" xfId="0" applyFont="1" applyBorder="1" applyAlignment="1">
      <alignment horizontal="right"/>
    </xf>
    <xf numFmtId="193" fontId="12" fillId="0" borderId="27" xfId="0" applyNumberFormat="1" applyFont="1" applyBorder="1" applyAlignment="1">
      <alignment horizontal="center"/>
    </xf>
    <xf numFmtId="4" fontId="13" fillId="0" borderId="0" xfId="0" applyNumberFormat="1" applyFont="1" applyAlignment="1">
      <alignment/>
    </xf>
    <xf numFmtId="4" fontId="13" fillId="0" borderId="0" xfId="0" applyNumberFormat="1" applyFont="1" applyAlignment="1">
      <alignment horizontal="center"/>
    </xf>
    <xf numFmtId="10" fontId="13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10" fontId="13" fillId="0" borderId="27" xfId="0" applyNumberFormat="1" applyFont="1" applyBorder="1" applyAlignment="1">
      <alignment horizontal="center"/>
    </xf>
    <xf numFmtId="10" fontId="13" fillId="0" borderId="0" xfId="0" applyNumberFormat="1" applyFont="1" applyAlignment="1">
      <alignment horizontal="center"/>
    </xf>
    <xf numFmtId="0" fontId="12" fillId="0" borderId="0" xfId="0" applyFont="1" applyBorder="1" applyAlignment="1">
      <alignment/>
    </xf>
    <xf numFmtId="10" fontId="13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31" xfId="0" applyFont="1" applyBorder="1" applyAlignment="1">
      <alignment horizontal="center"/>
    </xf>
    <xf numFmtId="0" fontId="15" fillId="0" borderId="0" xfId="0" applyFont="1" applyAlignment="1">
      <alignment horizontal="left"/>
    </xf>
    <xf numFmtId="182" fontId="6" fillId="0" borderId="0" xfId="0" applyNumberFormat="1" applyFont="1" applyAlignment="1">
      <alignment/>
    </xf>
    <xf numFmtId="0" fontId="16" fillId="0" borderId="0" xfId="0" applyFont="1" applyAlignment="1">
      <alignment/>
    </xf>
    <xf numFmtId="194" fontId="6" fillId="0" borderId="0" xfId="0" applyNumberFormat="1" applyFont="1" applyAlignment="1">
      <alignment/>
    </xf>
    <xf numFmtId="196" fontId="16" fillId="0" borderId="0" xfId="0" applyNumberFormat="1" applyFont="1" applyAlignment="1">
      <alignment/>
    </xf>
    <xf numFmtId="194" fontId="6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50" xfId="0" applyFont="1" applyBorder="1" applyAlignment="1">
      <alignment/>
    </xf>
    <xf numFmtId="0" fontId="7" fillId="0" borderId="0" xfId="0" applyFont="1" applyAlignment="1">
      <alignment horizontal="center"/>
    </xf>
    <xf numFmtId="9" fontId="13" fillId="0" borderId="11" xfId="0" applyNumberFormat="1" applyFont="1" applyBorder="1" applyAlignment="1">
      <alignment/>
    </xf>
    <xf numFmtId="0" fontId="6" fillId="0" borderId="51" xfId="0" applyFont="1" applyBorder="1" applyAlignment="1">
      <alignment/>
    </xf>
    <xf numFmtId="3" fontId="0" fillId="0" borderId="0" xfId="0" applyNumberFormat="1" applyAlignment="1">
      <alignment/>
    </xf>
    <xf numFmtId="4" fontId="10" fillId="0" borderId="0" xfId="0" applyNumberFormat="1" applyFont="1" applyAlignment="1">
      <alignment/>
    </xf>
    <xf numFmtId="166" fontId="1" fillId="0" borderId="0" xfId="0" applyNumberFormat="1" applyFont="1" applyAlignment="1">
      <alignment horizontal="right"/>
    </xf>
    <xf numFmtId="0" fontId="59" fillId="0" borderId="52" xfId="0" applyFont="1" applyBorder="1" applyAlignment="1">
      <alignment/>
    </xf>
    <xf numFmtId="0" fontId="59" fillId="0" borderId="53" xfId="0" applyFont="1" applyBorder="1" applyAlignment="1">
      <alignment horizontal="center"/>
    </xf>
    <xf numFmtId="0" fontId="60" fillId="0" borderId="0" xfId="0" applyFont="1" applyAlignment="1">
      <alignment/>
    </xf>
    <xf numFmtId="4" fontId="59" fillId="0" borderId="0" xfId="0" applyNumberFormat="1" applyFont="1" applyAlignment="1">
      <alignment/>
    </xf>
    <xf numFmtId="4" fontId="59" fillId="0" borderId="11" xfId="0" applyNumberFormat="1" applyFont="1" applyBorder="1" applyAlignment="1">
      <alignment/>
    </xf>
    <xf numFmtId="0" fontId="60" fillId="0" borderId="0" xfId="0" applyFont="1" applyBorder="1" applyAlignment="1">
      <alignment/>
    </xf>
    <xf numFmtId="4" fontId="59" fillId="0" borderId="0" xfId="0" applyNumberFormat="1" applyFont="1" applyBorder="1" applyAlignment="1">
      <alignment/>
    </xf>
    <xf numFmtId="4" fontId="59" fillId="0" borderId="10" xfId="0" applyNumberFormat="1" applyFont="1" applyBorder="1" applyAlignment="1">
      <alignment/>
    </xf>
    <xf numFmtId="4" fontId="60" fillId="0" borderId="0" xfId="0" applyNumberFormat="1" applyFont="1" applyAlignment="1">
      <alignment/>
    </xf>
    <xf numFmtId="0" fontId="61" fillId="0" borderId="0" xfId="0" applyFont="1" applyAlignment="1">
      <alignment horizontal="right"/>
    </xf>
    <xf numFmtId="4" fontId="61" fillId="0" borderId="0" xfId="0" applyNumberFormat="1" applyFont="1" applyAlignment="1">
      <alignment/>
    </xf>
    <xf numFmtId="0" fontId="59" fillId="0" borderId="0" xfId="0" applyFont="1" applyAlignment="1">
      <alignment horizontal="right"/>
    </xf>
    <xf numFmtId="0" fontId="13" fillId="0" borderId="54" xfId="0" applyFont="1" applyFill="1" applyBorder="1" applyAlignment="1" quotePrefix="1">
      <alignment horizontal="center"/>
    </xf>
    <xf numFmtId="44" fontId="9" fillId="0" borderId="0" xfId="44" applyFont="1" applyAlignment="1">
      <alignment/>
    </xf>
    <xf numFmtId="183" fontId="11" fillId="0" borderId="54" xfId="0" applyNumberFormat="1" applyFont="1" applyBorder="1" applyAlignment="1">
      <alignment horizontal="center"/>
    </xf>
    <xf numFmtId="4" fontId="13" fillId="0" borderId="27" xfId="0" applyNumberFormat="1" applyFont="1" applyBorder="1" applyAlignment="1">
      <alignment/>
    </xf>
    <xf numFmtId="4" fontId="13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12" fillId="0" borderId="0" xfId="0" applyNumberFormat="1" applyFont="1" applyAlignment="1">
      <alignment/>
    </xf>
    <xf numFmtId="182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182" fontId="13" fillId="0" borderId="0" xfId="0" applyNumberFormat="1" applyFont="1" applyAlignment="1">
      <alignment horizontal="right"/>
    </xf>
    <xf numFmtId="8" fontId="5" fillId="0" borderId="10" xfId="0" applyNumberFormat="1" applyFont="1" applyBorder="1" applyAlignment="1">
      <alignment/>
    </xf>
    <xf numFmtId="44" fontId="5" fillId="0" borderId="11" xfId="44" applyFont="1" applyBorder="1" applyAlignment="1">
      <alignment/>
    </xf>
    <xf numFmtId="44" fontId="5" fillId="0" borderId="0" xfId="44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5"/>
  <sheetViews>
    <sheetView zoomScalePageLayoutView="0" workbookViewId="0" topLeftCell="C1">
      <selection activeCell="H21" sqref="H21"/>
    </sheetView>
  </sheetViews>
  <sheetFormatPr defaultColWidth="9.140625" defaultRowHeight="12.75"/>
  <cols>
    <col min="1" max="1" width="74.00390625" style="0" bestFit="1" customWidth="1"/>
    <col min="2" max="2" width="25.140625" style="0" bestFit="1" customWidth="1"/>
    <col min="3" max="3" width="21.140625" style="0" bestFit="1" customWidth="1"/>
    <col min="4" max="4" width="25.140625" style="0" bestFit="1" customWidth="1"/>
    <col min="5" max="5" width="16.8515625" style="0" bestFit="1" customWidth="1"/>
    <col min="6" max="6" width="25.140625" style="0" bestFit="1" customWidth="1"/>
    <col min="7" max="7" width="21.140625" style="0" bestFit="1" customWidth="1"/>
    <col min="8" max="8" width="25.140625" style="0" bestFit="1" customWidth="1"/>
    <col min="9" max="9" width="19.7109375" style="0" customWidth="1"/>
    <col min="10" max="10" width="24.28125" style="0" bestFit="1" customWidth="1"/>
    <col min="11" max="11" width="26.421875" style="0" customWidth="1"/>
    <col min="12" max="12" width="16.57421875" style="0" bestFit="1" customWidth="1"/>
    <col min="13" max="13" width="17.57421875" style="0" bestFit="1" customWidth="1"/>
    <col min="14" max="14" width="16.57421875" style="0" bestFit="1" customWidth="1"/>
    <col min="15" max="15" width="18.28125" style="0" bestFit="1" customWidth="1"/>
    <col min="16" max="16" width="16.57421875" style="0" customWidth="1"/>
    <col min="17" max="17" width="19.00390625" style="0" customWidth="1"/>
    <col min="18" max="18" width="16.57421875" style="0" bestFit="1" customWidth="1"/>
    <col min="19" max="19" width="17.57421875" style="0" bestFit="1" customWidth="1"/>
    <col min="20" max="20" width="16.57421875" style="0" bestFit="1" customWidth="1"/>
    <col min="21" max="21" width="16.57421875" style="0" customWidth="1"/>
    <col min="22" max="22" width="16.57421875" style="0" bestFit="1" customWidth="1"/>
    <col min="23" max="23" width="14.00390625" style="0" bestFit="1" customWidth="1"/>
    <col min="24" max="24" width="13.28125" style="0" bestFit="1" customWidth="1"/>
  </cols>
  <sheetData>
    <row r="1" spans="2:24" ht="12.75">
      <c r="B1" s="67" t="s">
        <v>45</v>
      </c>
      <c r="C1" s="67" t="s">
        <v>46</v>
      </c>
      <c r="D1" s="60" t="s">
        <v>61</v>
      </c>
      <c r="E1" s="60" t="s">
        <v>65</v>
      </c>
      <c r="F1" s="57" t="s">
        <v>165</v>
      </c>
      <c r="G1" s="60" t="s">
        <v>164</v>
      </c>
      <c r="H1" s="60" t="s">
        <v>163</v>
      </c>
      <c r="I1" s="60" t="s">
        <v>162</v>
      </c>
      <c r="J1" s="60" t="s">
        <v>161</v>
      </c>
      <c r="K1" s="60" t="s">
        <v>160</v>
      </c>
      <c r="L1" s="101" t="s">
        <v>159</v>
      </c>
      <c r="M1" s="101" t="s">
        <v>158</v>
      </c>
      <c r="N1" s="101" t="s">
        <v>157</v>
      </c>
      <c r="O1" s="101" t="s">
        <v>156</v>
      </c>
      <c r="P1" s="101" t="s">
        <v>155</v>
      </c>
      <c r="Q1" s="101" t="s">
        <v>154</v>
      </c>
      <c r="R1" s="101" t="s">
        <v>153</v>
      </c>
      <c r="S1" s="101" t="s">
        <v>172</v>
      </c>
      <c r="T1" s="101" t="s">
        <v>191</v>
      </c>
      <c r="U1" s="101" t="s">
        <v>214</v>
      </c>
      <c r="V1" s="101" t="s">
        <v>226</v>
      </c>
      <c r="W1" s="37" t="s">
        <v>24</v>
      </c>
      <c r="X1" s="37" t="s">
        <v>39</v>
      </c>
    </row>
    <row r="2" spans="2:24" ht="12.75">
      <c r="B2" s="61">
        <v>37866</v>
      </c>
      <c r="C2" s="61">
        <v>38153</v>
      </c>
      <c r="D2" s="61">
        <v>38470</v>
      </c>
      <c r="E2" s="61" t="s">
        <v>66</v>
      </c>
      <c r="F2" s="58">
        <v>38766</v>
      </c>
      <c r="G2" s="61">
        <v>39113</v>
      </c>
      <c r="H2" s="61">
        <v>39521</v>
      </c>
      <c r="I2" s="61">
        <v>39941</v>
      </c>
      <c r="J2" s="61">
        <v>40333</v>
      </c>
      <c r="K2" s="61">
        <v>40696</v>
      </c>
      <c r="L2" s="103">
        <v>41047</v>
      </c>
      <c r="M2" s="95">
        <v>41439</v>
      </c>
      <c r="N2" s="103">
        <v>41803</v>
      </c>
      <c r="O2" s="103">
        <v>42174</v>
      </c>
      <c r="P2" s="103">
        <v>42538</v>
      </c>
      <c r="Q2" s="103">
        <v>42867</v>
      </c>
      <c r="R2" s="103">
        <v>43266</v>
      </c>
      <c r="S2" s="103">
        <v>43630</v>
      </c>
      <c r="T2" s="103">
        <v>43980</v>
      </c>
      <c r="U2" s="103">
        <v>44351</v>
      </c>
      <c r="V2" s="103">
        <v>44722</v>
      </c>
      <c r="W2" s="55" t="s">
        <v>227</v>
      </c>
      <c r="X2" s="55" t="s">
        <v>227</v>
      </c>
    </row>
    <row r="3" spans="1:24" ht="13.5" thickBot="1">
      <c r="A3" s="22" t="s">
        <v>43</v>
      </c>
      <c r="B3" s="62" t="s">
        <v>44</v>
      </c>
      <c r="C3" s="62" t="s">
        <v>44</v>
      </c>
      <c r="D3" s="62" t="s">
        <v>44</v>
      </c>
      <c r="E3" s="62" t="s">
        <v>44</v>
      </c>
      <c r="F3" s="28" t="s">
        <v>44</v>
      </c>
      <c r="G3" s="62" t="s">
        <v>44</v>
      </c>
      <c r="H3" s="62" t="s">
        <v>44</v>
      </c>
      <c r="I3" s="62" t="s">
        <v>44</v>
      </c>
      <c r="J3" s="62" t="s">
        <v>44</v>
      </c>
      <c r="K3" s="62" t="s">
        <v>44</v>
      </c>
      <c r="L3" s="99" t="s">
        <v>44</v>
      </c>
      <c r="M3" s="47" t="s">
        <v>44</v>
      </c>
      <c r="N3" s="47" t="s">
        <v>44</v>
      </c>
      <c r="O3" s="47" t="s">
        <v>44</v>
      </c>
      <c r="P3" s="47" t="s">
        <v>44</v>
      </c>
      <c r="Q3" s="47" t="s">
        <v>44</v>
      </c>
      <c r="R3" s="47" t="s">
        <v>44</v>
      </c>
      <c r="S3" s="47" t="s">
        <v>44</v>
      </c>
      <c r="T3" s="47" t="s">
        <v>44</v>
      </c>
      <c r="U3" s="47" t="s">
        <v>44</v>
      </c>
      <c r="V3" s="47" t="s">
        <v>44</v>
      </c>
      <c r="W3" s="46" t="s">
        <v>246</v>
      </c>
      <c r="X3" s="46" t="s">
        <v>246</v>
      </c>
    </row>
    <row r="4" spans="1:24" ht="12.75">
      <c r="A4" s="4" t="s">
        <v>53</v>
      </c>
      <c r="B4" s="63">
        <v>68280240</v>
      </c>
      <c r="C4" s="63">
        <v>67878840</v>
      </c>
      <c r="D4" s="63">
        <v>67473840</v>
      </c>
      <c r="E4" s="63">
        <v>67333040</v>
      </c>
      <c r="F4" s="29">
        <v>67460140</v>
      </c>
      <c r="G4" s="63">
        <v>67233540</v>
      </c>
      <c r="H4" s="29">
        <v>67110118</v>
      </c>
      <c r="I4" s="29">
        <v>66531218</v>
      </c>
      <c r="J4" s="29">
        <v>66081618</v>
      </c>
      <c r="K4" s="29">
        <v>65963818</v>
      </c>
      <c r="L4" s="96">
        <v>65493668</v>
      </c>
      <c r="M4" s="96">
        <v>62516185</v>
      </c>
      <c r="N4" s="96">
        <v>61957585</v>
      </c>
      <c r="O4" s="96">
        <v>59118385</v>
      </c>
      <c r="P4" s="96">
        <v>59040185</v>
      </c>
      <c r="Q4" s="96">
        <v>58920985</v>
      </c>
      <c r="R4" s="96">
        <v>58485255</v>
      </c>
      <c r="S4" s="96">
        <v>58285685</v>
      </c>
      <c r="T4" s="96">
        <v>58206185</v>
      </c>
      <c r="U4" s="96">
        <v>58022285</v>
      </c>
      <c r="V4" s="96">
        <v>58719485</v>
      </c>
      <c r="W4" s="38">
        <f>V4-U4</f>
        <v>697200</v>
      </c>
      <c r="X4" s="106">
        <f>W4/U4</f>
        <v>0.012016072789963373</v>
      </c>
    </row>
    <row r="5" spans="2:24" ht="12.75">
      <c r="B5" s="63"/>
      <c r="C5" s="63"/>
      <c r="D5" s="63"/>
      <c r="E5" s="63"/>
      <c r="F5" s="29"/>
      <c r="G5" s="63"/>
      <c r="H5" s="29"/>
      <c r="I5" s="29"/>
      <c r="J5" s="29"/>
      <c r="K5" s="29"/>
      <c r="L5" s="97"/>
      <c r="M5" s="35"/>
      <c r="N5" s="35"/>
      <c r="O5" s="35"/>
      <c r="P5" s="35"/>
      <c r="Q5" s="35"/>
      <c r="R5" s="35"/>
      <c r="S5" s="35"/>
      <c r="T5" s="35"/>
      <c r="U5" s="35"/>
      <c r="V5" s="35"/>
      <c r="W5" s="38"/>
      <c r="X5" s="107"/>
    </row>
    <row r="6" spans="1:24" ht="12.75">
      <c r="A6" s="4" t="s">
        <v>52</v>
      </c>
      <c r="B6" s="64">
        <v>1967062440</v>
      </c>
      <c r="C6" s="64">
        <v>1984591881</v>
      </c>
      <c r="D6" s="64">
        <v>2014604467</v>
      </c>
      <c r="E6" s="64">
        <v>2014604467</v>
      </c>
      <c r="F6" s="30">
        <v>2042103196</v>
      </c>
      <c r="G6" s="64">
        <v>2064807396</v>
      </c>
      <c r="H6" s="30">
        <v>2109203476</v>
      </c>
      <c r="I6" s="30">
        <v>2109856570</v>
      </c>
      <c r="J6" s="30">
        <v>2090315020</v>
      </c>
      <c r="K6" s="30">
        <v>2089104820</v>
      </c>
      <c r="L6" s="98">
        <v>2022946595</v>
      </c>
      <c r="M6" s="102">
        <v>2437234130</v>
      </c>
      <c r="N6" s="102">
        <v>2356444156</v>
      </c>
      <c r="O6" s="102">
        <v>2330148770</v>
      </c>
      <c r="P6" s="102">
        <v>2339704538</v>
      </c>
      <c r="Q6" s="102">
        <v>2329547338</v>
      </c>
      <c r="R6" s="102">
        <v>2315567373</v>
      </c>
      <c r="S6" s="102">
        <v>2324610713</v>
      </c>
      <c r="T6" s="102">
        <v>2320995533</v>
      </c>
      <c r="U6" s="102">
        <v>2340974495</v>
      </c>
      <c r="V6" s="102">
        <v>2357933172</v>
      </c>
      <c r="W6" s="39">
        <f>V6-U6</f>
        <v>16958677</v>
      </c>
      <c r="X6" s="108">
        <f>W6/U6</f>
        <v>0.007244280976243613</v>
      </c>
    </row>
    <row r="7" spans="2:24" ht="12.75">
      <c r="B7" s="63"/>
      <c r="C7" s="63"/>
      <c r="D7" s="63"/>
      <c r="E7" s="63"/>
      <c r="F7" s="29"/>
      <c r="G7" s="63"/>
      <c r="H7" s="29"/>
      <c r="I7" s="29"/>
      <c r="J7" s="29"/>
      <c r="K7" s="29"/>
      <c r="L7" s="97"/>
      <c r="M7" s="35"/>
      <c r="N7" s="35"/>
      <c r="O7" s="35"/>
      <c r="P7" s="35"/>
      <c r="Q7" s="35"/>
      <c r="R7" s="35"/>
      <c r="S7" s="35"/>
      <c r="T7" s="35"/>
      <c r="U7" s="35"/>
      <c r="V7" s="35"/>
      <c r="W7" s="38"/>
      <c r="X7" s="107"/>
    </row>
    <row r="8" spans="1:24" ht="13.5" thickBot="1">
      <c r="A8" s="17" t="s">
        <v>3</v>
      </c>
      <c r="B8" s="63">
        <f aca="true" t="shared" si="0" ref="B8:S8">B4+B6</f>
        <v>2035342680</v>
      </c>
      <c r="C8" s="63">
        <f t="shared" si="0"/>
        <v>2052470721</v>
      </c>
      <c r="D8" s="63">
        <f t="shared" si="0"/>
        <v>2082078307</v>
      </c>
      <c r="E8" s="63">
        <f t="shared" si="0"/>
        <v>2081937507</v>
      </c>
      <c r="F8" s="29">
        <f t="shared" si="0"/>
        <v>2109563336</v>
      </c>
      <c r="G8" s="63">
        <f t="shared" si="0"/>
        <v>2132040936</v>
      </c>
      <c r="H8" s="63">
        <f t="shared" si="0"/>
        <v>2176313594</v>
      </c>
      <c r="I8" s="63">
        <f t="shared" si="0"/>
        <v>2176387788</v>
      </c>
      <c r="J8" s="63">
        <f t="shared" si="0"/>
        <v>2156396638</v>
      </c>
      <c r="K8" s="63">
        <f t="shared" si="0"/>
        <v>2155068638</v>
      </c>
      <c r="L8" s="63">
        <f t="shared" si="0"/>
        <v>2088440263</v>
      </c>
      <c r="M8" s="63">
        <f t="shared" si="0"/>
        <v>2499750315</v>
      </c>
      <c r="N8" s="63">
        <f t="shared" si="0"/>
        <v>2418401741</v>
      </c>
      <c r="O8" s="63">
        <f t="shared" si="0"/>
        <v>2389267155</v>
      </c>
      <c r="P8" s="63">
        <f t="shared" si="0"/>
        <v>2398744723</v>
      </c>
      <c r="Q8" s="63">
        <f t="shared" si="0"/>
        <v>2388468323</v>
      </c>
      <c r="R8" s="63">
        <f t="shared" si="0"/>
        <v>2374052628</v>
      </c>
      <c r="S8" s="63">
        <f t="shared" si="0"/>
        <v>2382896398</v>
      </c>
      <c r="T8" s="63">
        <f>T4+T6</f>
        <v>2379201718</v>
      </c>
      <c r="U8" s="63">
        <f>U4+U6</f>
        <v>2398996780</v>
      </c>
      <c r="V8" s="63">
        <f>V4+V6</f>
        <v>2416652657</v>
      </c>
      <c r="W8" s="38">
        <f>V8-U8</f>
        <v>17655877</v>
      </c>
      <c r="X8" s="109">
        <f>W8/U8</f>
        <v>0.00735969182918203</v>
      </c>
    </row>
    <row r="9" spans="2:23" ht="13.5" thickTop="1">
      <c r="B9" s="63"/>
      <c r="C9" s="63"/>
      <c r="D9" s="63"/>
      <c r="E9" s="63"/>
      <c r="F9" s="29"/>
      <c r="G9" s="63"/>
      <c r="H9" s="63"/>
      <c r="I9" s="63"/>
      <c r="J9" s="63"/>
      <c r="K9" s="63"/>
      <c r="L9" s="63"/>
      <c r="M9" s="29"/>
      <c r="N9" s="29"/>
      <c r="O9" s="29"/>
      <c r="P9" s="29"/>
      <c r="Q9" s="29"/>
      <c r="R9" s="29"/>
      <c r="S9" s="29"/>
      <c r="T9" s="29"/>
      <c r="U9" s="29"/>
      <c r="V9" s="29"/>
      <c r="W9" s="38"/>
    </row>
    <row r="10" spans="1:23" ht="12.75">
      <c r="A10" s="4" t="s">
        <v>2</v>
      </c>
      <c r="B10" s="65" t="s">
        <v>64</v>
      </c>
      <c r="C10" s="65" t="s">
        <v>64</v>
      </c>
      <c r="D10" s="65" t="s">
        <v>64</v>
      </c>
      <c r="E10" s="65" t="s">
        <v>64</v>
      </c>
      <c r="F10" s="59" t="s">
        <v>64</v>
      </c>
      <c r="G10" s="65" t="s">
        <v>64</v>
      </c>
      <c r="H10" s="65" t="s">
        <v>64</v>
      </c>
      <c r="I10" s="65" t="s">
        <v>64</v>
      </c>
      <c r="J10" s="65" t="s">
        <v>64</v>
      </c>
      <c r="K10" s="65" t="s">
        <v>80</v>
      </c>
      <c r="L10" s="65" t="s">
        <v>86</v>
      </c>
      <c r="M10" s="65" t="s">
        <v>95</v>
      </c>
      <c r="N10" s="65" t="s">
        <v>96</v>
      </c>
      <c r="O10" s="117" t="s">
        <v>117</v>
      </c>
      <c r="P10" s="117" t="s">
        <v>117</v>
      </c>
      <c r="Q10" s="117" t="s">
        <v>117</v>
      </c>
      <c r="R10" s="117" t="s">
        <v>149</v>
      </c>
      <c r="S10" s="117" t="s">
        <v>149</v>
      </c>
      <c r="T10" s="117" t="s">
        <v>202</v>
      </c>
      <c r="U10" s="117" t="s">
        <v>202</v>
      </c>
      <c r="V10" s="117" t="s">
        <v>202</v>
      </c>
      <c r="W10" s="48" t="s">
        <v>216</v>
      </c>
    </row>
    <row r="11" spans="2:23" ht="12.75">
      <c r="B11" s="63"/>
      <c r="C11" s="63"/>
      <c r="D11" s="63"/>
      <c r="E11" s="63"/>
      <c r="F11" s="29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38"/>
    </row>
    <row r="12" spans="1:23" ht="13.5" thickBot="1">
      <c r="A12" s="15" t="s">
        <v>60</v>
      </c>
      <c r="B12" s="66">
        <f aca="true" t="shared" si="1" ref="B12:J12">B8*0.01941</f>
        <v>39506001.418800004</v>
      </c>
      <c r="C12" s="66">
        <f t="shared" si="1"/>
        <v>39838456.69461</v>
      </c>
      <c r="D12" s="66">
        <f t="shared" si="1"/>
        <v>40413139.93887</v>
      </c>
      <c r="E12" s="66">
        <f t="shared" si="1"/>
        <v>40410407.01087</v>
      </c>
      <c r="F12" s="31">
        <f t="shared" si="1"/>
        <v>40946624.35176</v>
      </c>
      <c r="G12" s="66">
        <f t="shared" si="1"/>
        <v>41382914.56776</v>
      </c>
      <c r="H12" s="66">
        <f t="shared" si="1"/>
        <v>42242246.85954</v>
      </c>
      <c r="I12" s="66">
        <f t="shared" si="1"/>
        <v>42243686.96508</v>
      </c>
      <c r="J12" s="66">
        <f t="shared" si="1"/>
        <v>41855658.74358</v>
      </c>
      <c r="K12" s="66">
        <f>K8*0.02102</f>
        <v>45299542.77076</v>
      </c>
      <c r="L12" s="66">
        <f>L8*0.02185</f>
        <v>45632419.74655</v>
      </c>
      <c r="M12" s="66">
        <f>M8*0.0185215</f>
        <v>46299125.4592725</v>
      </c>
      <c r="N12" s="66">
        <f>N8*0.0188919</f>
        <v>45688203.8507979</v>
      </c>
      <c r="O12" s="66">
        <f>O8*0.0193264</f>
        <v>46175932.744392</v>
      </c>
      <c r="P12" s="66">
        <f>P8*0.0193264</f>
        <v>46359100.0145872</v>
      </c>
      <c r="Q12" s="66">
        <f>Q8*0.0193264</f>
        <v>46160494.1976272</v>
      </c>
      <c r="R12" s="66">
        <f>R8*0.0198675</f>
        <v>47166490.58679</v>
      </c>
      <c r="S12" s="66">
        <f>S8*0.0198675</f>
        <v>47342194.187265</v>
      </c>
      <c r="T12" s="66">
        <f>T8*0.0201655</f>
        <v>47977792.244329</v>
      </c>
      <c r="U12" s="66">
        <f>U8*0.0201655</f>
        <v>48376969.56709</v>
      </c>
      <c r="V12" s="66">
        <f>V8*0.0201655</f>
        <v>48733009.1547335</v>
      </c>
      <c r="W12" s="40">
        <f>W8*0.0208914</f>
        <v>368855.9887578</v>
      </c>
    </row>
    <row r="13" ht="13.5" thickTop="1">
      <c r="M13" s="9" t="s">
        <v>168</v>
      </c>
    </row>
    <row r="14" spans="1:24" ht="13.5" thickBo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119" t="s">
        <v>169</v>
      </c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</row>
    <row r="15" spans="1:12" ht="19.5" thickBot="1" thickTop="1">
      <c r="A15" s="154"/>
      <c r="B15" s="154"/>
      <c r="C15" s="154"/>
      <c r="D15" s="154"/>
      <c r="E15" s="155"/>
      <c r="F15" s="154"/>
      <c r="G15" s="150" t="s">
        <v>125</v>
      </c>
      <c r="H15" s="150" t="s">
        <v>260</v>
      </c>
      <c r="I15" s="150"/>
      <c r="J15" s="156"/>
      <c r="K15" s="156"/>
      <c r="L15" s="154"/>
    </row>
    <row r="16" spans="1:21" ht="18.75" thickBot="1">
      <c r="A16" s="157" t="s">
        <v>261</v>
      </c>
      <c r="B16" s="158" t="s">
        <v>54</v>
      </c>
      <c r="C16" s="158" t="s">
        <v>55</v>
      </c>
      <c r="D16" s="158" t="s">
        <v>56</v>
      </c>
      <c r="E16" s="159"/>
      <c r="F16" s="158" t="s">
        <v>54</v>
      </c>
      <c r="G16" s="158" t="s">
        <v>55</v>
      </c>
      <c r="H16" s="158" t="s">
        <v>56</v>
      </c>
      <c r="I16" s="158"/>
      <c r="J16" s="160"/>
      <c r="K16" s="160"/>
      <c r="L16" s="161"/>
      <c r="M16" s="44" t="s">
        <v>54</v>
      </c>
      <c r="N16" s="126" t="s">
        <v>55</v>
      </c>
      <c r="O16" s="126" t="s">
        <v>56</v>
      </c>
      <c r="P16" s="127"/>
      <c r="Q16" s="128" t="s">
        <v>185</v>
      </c>
      <c r="R16" s="127"/>
      <c r="S16" s="127"/>
      <c r="T16" s="129"/>
      <c r="U16" s="34"/>
    </row>
    <row r="17" spans="1:21" ht="18.75" thickBot="1">
      <c r="A17" s="154"/>
      <c r="B17" s="162" t="s">
        <v>47</v>
      </c>
      <c r="C17" s="162" t="s">
        <v>48</v>
      </c>
      <c r="D17" s="162" t="s">
        <v>26</v>
      </c>
      <c r="E17" s="159"/>
      <c r="F17" s="162" t="s">
        <v>47</v>
      </c>
      <c r="G17" s="162" t="s">
        <v>48</v>
      </c>
      <c r="H17" s="162" t="s">
        <v>26</v>
      </c>
      <c r="I17" s="163" t="s">
        <v>125</v>
      </c>
      <c r="J17" s="164">
        <v>2364447972</v>
      </c>
      <c r="K17" s="165"/>
      <c r="L17" s="161"/>
      <c r="M17" s="28" t="s">
        <v>47</v>
      </c>
      <c r="N17" s="2" t="s">
        <v>48</v>
      </c>
      <c r="O17" s="2" t="s">
        <v>26</v>
      </c>
      <c r="Q17" s="122" t="s">
        <v>181</v>
      </c>
      <c r="T17" s="56"/>
      <c r="U17" s="34"/>
    </row>
    <row r="18" spans="1:21" ht="18">
      <c r="A18" s="166" t="s">
        <v>81</v>
      </c>
      <c r="B18" s="167">
        <v>2364447972</v>
      </c>
      <c r="C18" s="167">
        <v>58048485</v>
      </c>
      <c r="D18" s="168">
        <f>SUM(B18:C18)</f>
        <v>2422496457</v>
      </c>
      <c r="E18" s="169"/>
      <c r="F18" s="167">
        <v>2364447972</v>
      </c>
      <c r="G18" s="167">
        <v>58048485</v>
      </c>
      <c r="H18" s="168">
        <f>SUM(F18:G18)</f>
        <v>2422496457</v>
      </c>
      <c r="I18" s="168"/>
      <c r="J18" s="170">
        <v>58048485</v>
      </c>
      <c r="K18" s="168"/>
      <c r="L18" s="161"/>
      <c r="M18" s="91">
        <f>V6</f>
        <v>2357933172</v>
      </c>
      <c r="N18" s="14">
        <f>V4</f>
        <v>58719485</v>
      </c>
      <c r="O18" s="3">
        <f>M18+N18</f>
        <v>2416652657</v>
      </c>
      <c r="Q18" s="25" t="s">
        <v>182</v>
      </c>
      <c r="T18" s="56"/>
      <c r="U18" s="34"/>
    </row>
    <row r="19" spans="1:21" ht="18">
      <c r="A19" s="166"/>
      <c r="B19" s="167"/>
      <c r="C19" s="167"/>
      <c r="D19" s="168"/>
      <c r="E19" s="169"/>
      <c r="F19" s="167"/>
      <c r="G19" s="167"/>
      <c r="H19" s="168"/>
      <c r="I19" s="168"/>
      <c r="J19" s="171">
        <v>2422496457</v>
      </c>
      <c r="K19" s="168"/>
      <c r="L19" s="161"/>
      <c r="M19" s="91"/>
      <c r="N19" s="14"/>
      <c r="O19" s="3"/>
      <c r="Q19" s="25" t="s">
        <v>183</v>
      </c>
      <c r="T19" s="56"/>
      <c r="U19" s="34"/>
    </row>
    <row r="20" spans="1:21" ht="18">
      <c r="A20" s="172" t="s">
        <v>4</v>
      </c>
      <c r="B20" s="173">
        <v>0</v>
      </c>
      <c r="C20" s="173">
        <v>0</v>
      </c>
      <c r="D20" s="149">
        <f>B20+C20</f>
        <v>0</v>
      </c>
      <c r="E20" s="169"/>
      <c r="F20" s="167"/>
      <c r="G20" s="167"/>
      <c r="H20" s="168"/>
      <c r="I20" s="168"/>
      <c r="J20" s="170">
        <v>-38000000</v>
      </c>
      <c r="K20" s="168"/>
      <c r="L20" s="161"/>
      <c r="M20" s="91"/>
      <c r="N20" s="14"/>
      <c r="O20" s="3"/>
      <c r="Q20" s="25" t="s">
        <v>184</v>
      </c>
      <c r="T20" s="56"/>
      <c r="U20" s="34"/>
    </row>
    <row r="21" spans="1:21" ht="18">
      <c r="A21" s="166"/>
      <c r="B21" s="167"/>
      <c r="C21" s="167"/>
      <c r="D21" s="168"/>
      <c r="E21" s="169"/>
      <c r="F21" s="167"/>
      <c r="G21" s="167"/>
      <c r="H21" s="168"/>
      <c r="I21" s="168"/>
      <c r="J21" s="171">
        <v>2384496457</v>
      </c>
      <c r="K21" s="168"/>
      <c r="L21" s="161"/>
      <c r="M21" s="91"/>
      <c r="N21" s="14"/>
      <c r="O21" s="3"/>
      <c r="Q21" s="25" t="s">
        <v>187</v>
      </c>
      <c r="T21" s="56"/>
      <c r="U21" s="34"/>
    </row>
    <row r="22" spans="1:21" ht="18">
      <c r="A22" s="172" t="s">
        <v>240</v>
      </c>
      <c r="B22" s="174">
        <v>-38000000</v>
      </c>
      <c r="C22" s="174">
        <v>0</v>
      </c>
      <c r="D22" s="175">
        <f>B22+C22</f>
        <v>-38000000</v>
      </c>
      <c r="E22" s="154"/>
      <c r="F22" s="174">
        <v>-38000000</v>
      </c>
      <c r="G22" s="174">
        <v>0</v>
      </c>
      <c r="H22" s="176">
        <f>F22+G22</f>
        <v>-38000000</v>
      </c>
      <c r="I22" s="168"/>
      <c r="J22" s="177">
        <v>0.022857</v>
      </c>
      <c r="K22" s="168"/>
      <c r="L22" s="161"/>
      <c r="M22" s="123">
        <v>0</v>
      </c>
      <c r="N22" s="80">
        <v>0</v>
      </c>
      <c r="O22" s="24">
        <f>M22+N22</f>
        <v>0</v>
      </c>
      <c r="P22" s="120"/>
      <c r="Q22" s="25" t="s">
        <v>186</v>
      </c>
      <c r="T22" s="56"/>
      <c r="U22" s="34"/>
    </row>
    <row r="23" spans="1:21" ht="18">
      <c r="A23" s="178"/>
      <c r="B23" s="167"/>
      <c r="C23" s="167"/>
      <c r="D23" s="168"/>
      <c r="E23" s="169"/>
      <c r="F23" s="167"/>
      <c r="G23" s="167"/>
      <c r="H23" s="168"/>
      <c r="I23" s="168"/>
      <c r="J23" s="149">
        <v>54502435</v>
      </c>
      <c r="K23" s="168"/>
      <c r="L23" s="161"/>
      <c r="M23" s="91"/>
      <c r="N23" s="14"/>
      <c r="O23" s="3"/>
      <c r="P23" s="9"/>
      <c r="T23" s="56"/>
      <c r="U23" s="34"/>
    </row>
    <row r="24" spans="1:21" ht="18">
      <c r="A24" s="166" t="s">
        <v>82</v>
      </c>
      <c r="B24" s="167">
        <f>SUM(B18:B22)</f>
        <v>2326447972</v>
      </c>
      <c r="C24" s="167">
        <f>SUM(C18:C22)</f>
        <v>58048485</v>
      </c>
      <c r="D24" s="167">
        <f>SUM(D18:D22)</f>
        <v>2384496457</v>
      </c>
      <c r="E24" s="169"/>
      <c r="F24" s="167">
        <f>SUM(F18:F22)</f>
        <v>2326447972</v>
      </c>
      <c r="G24" s="167">
        <f>SUM(G18:G22)</f>
        <v>58048485</v>
      </c>
      <c r="H24" s="167">
        <f>SUM(H18:H22)</f>
        <v>2384496457</v>
      </c>
      <c r="I24" s="168"/>
      <c r="J24" s="168"/>
      <c r="K24" s="168"/>
      <c r="L24" s="161"/>
      <c r="M24" s="91">
        <f>SUM(M18:M22)</f>
        <v>2357933172</v>
      </c>
      <c r="N24" s="14">
        <f>SUM(N18:N22)</f>
        <v>58719485</v>
      </c>
      <c r="O24" s="14">
        <f>SUM(O18:O22)</f>
        <v>2416652657</v>
      </c>
      <c r="T24" s="56"/>
      <c r="U24" s="34"/>
    </row>
    <row r="25" spans="1:21" ht="18">
      <c r="A25" s="166"/>
      <c r="B25" s="167"/>
      <c r="C25" s="167"/>
      <c r="D25" s="168"/>
      <c r="E25" s="169"/>
      <c r="F25" s="167"/>
      <c r="G25" s="167"/>
      <c r="H25" s="168"/>
      <c r="I25" s="179" t="s">
        <v>250</v>
      </c>
      <c r="J25" s="180"/>
      <c r="K25" s="168"/>
      <c r="L25" s="161"/>
      <c r="M25" s="91"/>
      <c r="N25" s="14"/>
      <c r="O25" s="3"/>
      <c r="P25" s="6"/>
      <c r="Q25" s="86" t="s">
        <v>107</v>
      </c>
      <c r="R25" s="6"/>
      <c r="S25" s="34"/>
      <c r="T25" s="56"/>
      <c r="U25" s="34"/>
    </row>
    <row r="26" spans="1:21" ht="18">
      <c r="A26" s="166" t="s">
        <v>228</v>
      </c>
      <c r="B26" s="181" t="s">
        <v>234</v>
      </c>
      <c r="C26" s="181" t="s">
        <v>234</v>
      </c>
      <c r="D26" s="181" t="s">
        <v>234</v>
      </c>
      <c r="E26" s="182"/>
      <c r="F26" s="181" t="s">
        <v>252</v>
      </c>
      <c r="G26" s="181" t="s">
        <v>252</v>
      </c>
      <c r="H26" s="181" t="s">
        <v>252</v>
      </c>
      <c r="I26" s="183" t="s">
        <v>251</v>
      </c>
      <c r="J26" s="184"/>
      <c r="K26" s="184"/>
      <c r="L26" s="161"/>
      <c r="M26" s="124" t="s">
        <v>177</v>
      </c>
      <c r="N26" s="116" t="s">
        <v>177</v>
      </c>
      <c r="O26" s="116" t="s">
        <v>177</v>
      </c>
      <c r="P26" s="85" t="s">
        <v>176</v>
      </c>
      <c r="Q26" s="52"/>
      <c r="T26" s="56"/>
      <c r="U26" s="34"/>
    </row>
    <row r="27" spans="1:21" ht="18">
      <c r="A27" s="166"/>
      <c r="B27" s="167"/>
      <c r="C27" s="167"/>
      <c r="D27" s="168"/>
      <c r="E27" s="169"/>
      <c r="F27" s="167"/>
      <c r="G27" s="167"/>
      <c r="H27" s="168"/>
      <c r="I27" s="168"/>
      <c r="J27" s="168"/>
      <c r="K27" s="168"/>
      <c r="L27" s="161"/>
      <c r="M27" s="91"/>
      <c r="N27" s="14"/>
      <c r="O27" s="3"/>
      <c r="T27" s="56"/>
      <c r="U27" s="34"/>
    </row>
    <row r="28" spans="1:21" ht="18.75" thickBot="1">
      <c r="A28" s="166" t="s">
        <v>58</v>
      </c>
      <c r="B28" s="168">
        <v>50489708.72</v>
      </c>
      <c r="C28" s="168">
        <v>1276477.44</v>
      </c>
      <c r="D28" s="168">
        <f>SUM(B28:C28)</f>
        <v>51766186.16</v>
      </c>
      <c r="E28" s="169"/>
      <c r="F28" s="168">
        <f>F24*0.022857</f>
        <v>53175621.296004</v>
      </c>
      <c r="G28" s="168">
        <f>SUM(G24*0.022857)</f>
        <v>1326814.221645</v>
      </c>
      <c r="H28" s="149">
        <f>SUM(F28:G28)</f>
        <v>54502435.517648995</v>
      </c>
      <c r="I28" s="149" t="s">
        <v>257</v>
      </c>
      <c r="J28" s="149">
        <v>54502435</v>
      </c>
      <c r="K28" s="168"/>
      <c r="L28" s="161"/>
      <c r="M28" s="29">
        <f>M24*0.0197683</f>
        <v>46612330.324047595</v>
      </c>
      <c r="N28" s="3">
        <f>N24*0.0197683</f>
        <v>1160784.3953255</v>
      </c>
      <c r="O28" s="49">
        <f>O24*0.0197683</f>
        <v>47773114.7193731</v>
      </c>
      <c r="P28" s="21">
        <v>46544924.58</v>
      </c>
      <c r="Q28" s="9" t="s">
        <v>129</v>
      </c>
      <c r="T28" s="56"/>
      <c r="U28" s="34"/>
    </row>
    <row r="29" spans="1:21" ht="18.75" thickTop="1">
      <c r="A29" s="154"/>
      <c r="B29" s="154"/>
      <c r="C29" s="154"/>
      <c r="D29" s="168"/>
      <c r="E29" s="169"/>
      <c r="F29" s="154"/>
      <c r="G29" s="154"/>
      <c r="H29" s="168"/>
      <c r="I29" s="168"/>
      <c r="J29" s="185" t="s">
        <v>254</v>
      </c>
      <c r="K29" s="168" t="s">
        <v>258</v>
      </c>
      <c r="L29" s="161"/>
      <c r="M29" s="35"/>
      <c r="O29" s="3"/>
      <c r="T29" s="56"/>
      <c r="U29" s="34"/>
    </row>
    <row r="30" spans="1:21" ht="18">
      <c r="A30" s="166" t="s">
        <v>51</v>
      </c>
      <c r="B30" s="180">
        <f>B28*0.02</f>
        <v>1009794.1744</v>
      </c>
      <c r="C30" s="180">
        <f>C28*0.02</f>
        <v>25529.5488</v>
      </c>
      <c r="D30" s="180">
        <f>D28*0.02</f>
        <v>1035323.7232</v>
      </c>
      <c r="E30" s="169"/>
      <c r="F30" s="180">
        <f>F28*0.02</f>
        <v>1063512.42592008</v>
      </c>
      <c r="G30" s="180">
        <f>G28*0.02</f>
        <v>26536.2844329</v>
      </c>
      <c r="H30" s="180">
        <f>H28*0.02</f>
        <v>1090048.7103529798</v>
      </c>
      <c r="I30" s="186"/>
      <c r="J30" s="186">
        <v>1090048</v>
      </c>
      <c r="K30" s="186"/>
      <c r="L30" s="161"/>
      <c r="M30" s="30">
        <f>M28*0.02</f>
        <v>932246.6064809519</v>
      </c>
      <c r="N30" s="5">
        <f>N28*0.02</f>
        <v>23215.68790651</v>
      </c>
      <c r="O30" s="5">
        <f>O28*0.02</f>
        <v>955462.294387462</v>
      </c>
      <c r="P30" s="19" t="s">
        <v>248</v>
      </c>
      <c r="T30" s="56"/>
      <c r="U30" s="34"/>
    </row>
    <row r="31" spans="1:21" ht="18">
      <c r="A31" s="154"/>
      <c r="B31" s="154"/>
      <c r="C31" s="154"/>
      <c r="D31" s="154"/>
      <c r="E31" s="187"/>
      <c r="F31" s="154"/>
      <c r="G31" s="154"/>
      <c r="H31" s="154"/>
      <c r="I31" s="154"/>
      <c r="J31" s="154"/>
      <c r="K31" s="154"/>
      <c r="L31" s="161"/>
      <c r="M31" s="35"/>
      <c r="T31" s="56"/>
      <c r="U31" s="34"/>
    </row>
    <row r="32" spans="1:21" ht="18">
      <c r="A32" s="166" t="s">
        <v>59</v>
      </c>
      <c r="B32" s="167">
        <f>B28-B30</f>
        <v>49479914.5456</v>
      </c>
      <c r="C32" s="167">
        <f>C28-C30</f>
        <v>1250947.8912</v>
      </c>
      <c r="D32" s="167">
        <f>D28-D30</f>
        <v>50730862.436799996</v>
      </c>
      <c r="E32" s="188"/>
      <c r="F32" s="167">
        <f>F28-F30</f>
        <v>52112108.87008392</v>
      </c>
      <c r="G32" s="167">
        <f>G28-G30</f>
        <v>1300277.9372121</v>
      </c>
      <c r="H32" s="167">
        <f>H28-H30</f>
        <v>53412386.807296015</v>
      </c>
      <c r="I32" s="167"/>
      <c r="J32" s="167"/>
      <c r="K32" s="167"/>
      <c r="L32" s="161"/>
      <c r="M32" s="91">
        <f>M28-M30</f>
        <v>45680083.71756665</v>
      </c>
      <c r="N32" s="14">
        <f>N28-N30</f>
        <v>1137568.70741899</v>
      </c>
      <c r="O32" s="14">
        <f>O28-O30</f>
        <v>46817652.42498564</v>
      </c>
      <c r="T32" s="56"/>
      <c r="U32" s="34"/>
    </row>
    <row r="33" spans="1:21" ht="18">
      <c r="A33" s="154"/>
      <c r="B33" s="154"/>
      <c r="C33" s="154"/>
      <c r="D33" s="154"/>
      <c r="E33" s="187"/>
      <c r="F33" s="154"/>
      <c r="G33" s="154"/>
      <c r="H33" s="154"/>
      <c r="I33" s="154"/>
      <c r="J33" s="154"/>
      <c r="K33" s="154"/>
      <c r="L33" s="161"/>
      <c r="M33" s="35"/>
      <c r="T33" s="56"/>
      <c r="U33" s="34"/>
    </row>
    <row r="34" spans="1:21" ht="18">
      <c r="A34" s="166" t="s">
        <v>223</v>
      </c>
      <c r="B34" s="189" t="s">
        <v>224</v>
      </c>
      <c r="C34" s="189" t="s">
        <v>224</v>
      </c>
      <c r="D34" s="189" t="s">
        <v>224</v>
      </c>
      <c r="E34" s="190"/>
      <c r="F34" s="189" t="s">
        <v>224</v>
      </c>
      <c r="G34" s="189" t="s">
        <v>224</v>
      </c>
      <c r="H34" s="189" t="s">
        <v>224</v>
      </c>
      <c r="I34" s="191"/>
      <c r="J34" s="191"/>
      <c r="K34" s="191"/>
      <c r="L34" s="161"/>
      <c r="M34" s="125" t="s">
        <v>128</v>
      </c>
      <c r="N34" s="115" t="s">
        <v>128</v>
      </c>
      <c r="O34" s="115" t="s">
        <v>128</v>
      </c>
      <c r="P34" s="69" t="s">
        <v>249</v>
      </c>
      <c r="T34" s="56"/>
      <c r="U34" s="34"/>
    </row>
    <row r="35" spans="1:21" ht="18">
      <c r="A35" s="154"/>
      <c r="B35" s="154"/>
      <c r="C35" s="154"/>
      <c r="D35" s="154"/>
      <c r="E35" s="187"/>
      <c r="F35" s="154"/>
      <c r="G35" s="154"/>
      <c r="H35" s="154"/>
      <c r="I35" s="154"/>
      <c r="J35" s="154"/>
      <c r="K35" s="154"/>
      <c r="L35" s="161"/>
      <c r="M35" s="35"/>
      <c r="T35" s="56"/>
      <c r="U35" s="34"/>
    </row>
    <row r="36" spans="1:21" ht="18">
      <c r="A36" s="166" t="s">
        <v>229</v>
      </c>
      <c r="B36" s="192">
        <f>B32*0.985</f>
        <v>48737715.827415995</v>
      </c>
      <c r="C36" s="192">
        <f>C32*0.985</f>
        <v>1232183.6728319998</v>
      </c>
      <c r="D36" s="192">
        <f>D32*0.985</f>
        <v>49969899.50024799</v>
      </c>
      <c r="E36" s="193"/>
      <c r="F36" s="192">
        <f>F32*0.985</f>
        <v>51330427.23703266</v>
      </c>
      <c r="G36" s="192">
        <f>G32*0.985</f>
        <v>1280773.7681539184</v>
      </c>
      <c r="H36" s="192">
        <f>H32*0.985</f>
        <v>52611201.00518657</v>
      </c>
      <c r="I36" s="194"/>
      <c r="J36" s="194"/>
      <c r="K36" s="194"/>
      <c r="L36" s="161"/>
      <c r="M36" s="94">
        <f>M32*0.977</f>
        <v>44629441.79206261</v>
      </c>
      <c r="N36" s="54">
        <f>N32*0.977</f>
        <v>1111404.6271483533</v>
      </c>
      <c r="O36" s="54">
        <f>O32*0.977</f>
        <v>45740846.41921097</v>
      </c>
      <c r="T36" s="56"/>
      <c r="U36" s="34"/>
    </row>
    <row r="37" spans="1:21" ht="18">
      <c r="A37" s="195"/>
      <c r="B37" s="194"/>
      <c r="C37" s="194"/>
      <c r="D37" s="194"/>
      <c r="E37" s="193"/>
      <c r="F37" s="194"/>
      <c r="G37" s="194"/>
      <c r="H37" s="194"/>
      <c r="I37" s="194"/>
      <c r="J37" s="196" t="s">
        <v>76</v>
      </c>
      <c r="K37" s="196"/>
      <c r="L37" s="161"/>
      <c r="M37" s="93"/>
      <c r="N37" s="20"/>
      <c r="O37" s="20"/>
      <c r="Q37" s="77" t="s">
        <v>178</v>
      </c>
      <c r="T37" s="56"/>
      <c r="U37" s="34"/>
    </row>
    <row r="38" spans="1:21" ht="18">
      <c r="A38" s="178" t="s">
        <v>230</v>
      </c>
      <c r="B38" s="197">
        <v>1722685.5</v>
      </c>
      <c r="C38" s="197">
        <v>117712.2</v>
      </c>
      <c r="D38" s="197">
        <f>B38+C38</f>
        <v>1840397.7</v>
      </c>
      <c r="E38" s="198"/>
      <c r="F38" s="197">
        <v>1722685.5</v>
      </c>
      <c r="G38" s="197">
        <v>117712.2</v>
      </c>
      <c r="H38" s="197">
        <v>1840191</v>
      </c>
      <c r="I38" s="196"/>
      <c r="J38" s="196" t="s">
        <v>255</v>
      </c>
      <c r="K38" s="196"/>
      <c r="L38" s="161"/>
      <c r="M38" s="132">
        <v>1364417.41</v>
      </c>
      <c r="N38" s="71">
        <v>94460.91</v>
      </c>
      <c r="O38" s="71">
        <f>M38+N38</f>
        <v>1458878.3199999998</v>
      </c>
      <c r="Q38" s="77" t="s">
        <v>180</v>
      </c>
      <c r="T38" s="56"/>
      <c r="U38" s="34"/>
    </row>
    <row r="39" spans="1:21" ht="18">
      <c r="A39" s="178"/>
      <c r="B39" s="194"/>
      <c r="C39" s="194"/>
      <c r="D39" s="194"/>
      <c r="E39" s="198"/>
      <c r="F39" s="194"/>
      <c r="G39" s="194"/>
      <c r="H39" s="194"/>
      <c r="I39" s="196"/>
      <c r="J39" s="199" t="s">
        <v>30</v>
      </c>
      <c r="K39" s="196" t="s">
        <v>259</v>
      </c>
      <c r="L39" s="161"/>
      <c r="M39" s="93"/>
      <c r="N39" s="20"/>
      <c r="O39" s="20"/>
      <c r="Q39" s="87" t="s">
        <v>179</v>
      </c>
      <c r="T39" s="56"/>
      <c r="U39" s="34"/>
    </row>
    <row r="40" spans="1:21" ht="18.75" thickBot="1">
      <c r="A40" s="158" t="s">
        <v>71</v>
      </c>
      <c r="B40" s="200">
        <f>B36-B38</f>
        <v>47015030.327415995</v>
      </c>
      <c r="C40" s="200">
        <f>C36-C38</f>
        <v>1114471.4728319999</v>
      </c>
      <c r="D40" s="200">
        <f>D36-D38</f>
        <v>48129501.80024799</v>
      </c>
      <c r="E40" s="193"/>
      <c r="F40" s="200">
        <f>F36-F38</f>
        <v>49607741.73703266</v>
      </c>
      <c r="G40" s="200">
        <f>G36-G38</f>
        <v>1163061.5681539185</v>
      </c>
      <c r="H40" s="200">
        <f>H36-H38</f>
        <v>50771010.00518657</v>
      </c>
      <c r="I40" s="194"/>
      <c r="J40" s="200">
        <f>H40-D40</f>
        <v>2641508.204938583</v>
      </c>
      <c r="K40" s="194"/>
      <c r="L40" s="161"/>
      <c r="M40" s="114">
        <f>M36-M38</f>
        <v>43265024.382062614</v>
      </c>
      <c r="N40" s="41">
        <f>N36-N38</f>
        <v>1016943.7171483532</v>
      </c>
      <c r="O40" s="41">
        <f>O36-O38</f>
        <v>44281968.09921097</v>
      </c>
      <c r="Q40" s="41">
        <f>O40-D40</f>
        <v>-3847533.7010370195</v>
      </c>
      <c r="T40" s="56"/>
      <c r="U40" s="34"/>
    </row>
    <row r="41" spans="1:21" ht="18.75" thickTop="1">
      <c r="A41" s="195"/>
      <c r="B41" s="194"/>
      <c r="C41" s="194"/>
      <c r="D41" s="194"/>
      <c r="E41" s="193"/>
      <c r="F41" s="194"/>
      <c r="G41" s="194"/>
      <c r="H41" s="194"/>
      <c r="I41" s="194"/>
      <c r="J41" s="196" t="s">
        <v>73</v>
      </c>
      <c r="K41" s="196"/>
      <c r="L41" s="161"/>
      <c r="M41" s="93"/>
      <c r="N41" s="20"/>
      <c r="O41" s="20"/>
      <c r="T41" s="56"/>
      <c r="U41" s="34"/>
    </row>
    <row r="42" spans="1:21" ht="18.75" thickBot="1">
      <c r="A42" s="166" t="s">
        <v>231</v>
      </c>
      <c r="B42" s="201">
        <f>B32-B36</f>
        <v>742198.7181840017</v>
      </c>
      <c r="C42" s="201">
        <f>C32-C36</f>
        <v>18764.218368000118</v>
      </c>
      <c r="D42" s="201">
        <f>D32-D36</f>
        <v>760962.936552003</v>
      </c>
      <c r="E42" s="188"/>
      <c r="F42" s="201">
        <f>F32-F36</f>
        <v>781681.6330512613</v>
      </c>
      <c r="G42" s="201">
        <f>G32-G36</f>
        <v>19504.16905818158</v>
      </c>
      <c r="H42" s="201">
        <f>H32-H36</f>
        <v>801185.8021094427</v>
      </c>
      <c r="I42" s="202" t="s">
        <v>217</v>
      </c>
      <c r="J42" s="174">
        <v>0</v>
      </c>
      <c r="K42" s="194" t="s">
        <v>1</v>
      </c>
      <c r="L42" s="161"/>
      <c r="M42" s="50">
        <f>M32-M36</f>
        <v>1050641.9255040362</v>
      </c>
      <c r="N42" s="42">
        <f>N32-N36</f>
        <v>26164.080270636827</v>
      </c>
      <c r="O42" s="42">
        <f>O32-O36</f>
        <v>1076806.0057746693</v>
      </c>
      <c r="T42" s="56"/>
      <c r="U42" s="34"/>
    </row>
    <row r="43" spans="1:21" ht="19.5" thickBot="1" thickTop="1">
      <c r="A43" s="154"/>
      <c r="B43" s="154"/>
      <c r="C43" s="154"/>
      <c r="D43" s="154"/>
      <c r="E43" s="187"/>
      <c r="F43" s="154"/>
      <c r="G43" s="154"/>
      <c r="H43" s="154"/>
      <c r="I43" s="154"/>
      <c r="J43" s="154"/>
      <c r="K43" s="154"/>
      <c r="L43" s="161"/>
      <c r="M43" s="130"/>
      <c r="N43" s="78"/>
      <c r="O43" s="78"/>
      <c r="P43" s="78"/>
      <c r="Q43" s="78"/>
      <c r="R43" s="78"/>
      <c r="S43" s="78"/>
      <c r="T43" s="131"/>
      <c r="U43" s="34"/>
    </row>
    <row r="44" spans="1:12" ht="18.75" thickBot="1">
      <c r="A44" s="195" t="s">
        <v>262</v>
      </c>
      <c r="B44" s="200">
        <f>D24*0.001</f>
        <v>2384496.457</v>
      </c>
      <c r="C44" s="154"/>
      <c r="D44" s="150" t="s">
        <v>263</v>
      </c>
      <c r="E44" s="187"/>
      <c r="F44" s="200">
        <f>H24*0.001</f>
        <v>2384496.457</v>
      </c>
      <c r="G44" s="154"/>
      <c r="H44" s="154"/>
      <c r="I44" s="203" t="s">
        <v>256</v>
      </c>
      <c r="J44" s="200">
        <f>J40+J42</f>
        <v>2641508.204938583</v>
      </c>
      <c r="K44" s="194"/>
      <c r="L44" s="161"/>
    </row>
    <row r="45" spans="1:12" ht="18.75" thickTop="1">
      <c r="A45" s="154"/>
      <c r="B45" s="154"/>
      <c r="C45" s="154"/>
      <c r="D45" s="150" t="s">
        <v>30</v>
      </c>
      <c r="E45" s="187"/>
      <c r="F45" s="154"/>
      <c r="G45" s="154"/>
      <c r="H45" s="154"/>
      <c r="I45" s="154"/>
      <c r="J45" s="154"/>
      <c r="K45" s="154"/>
      <c r="L45" s="154"/>
    </row>
    <row r="46" spans="1:12" ht="18.75" thickBot="1">
      <c r="A46" s="195" t="s">
        <v>233</v>
      </c>
      <c r="B46" s="200">
        <f>((D24*0.001)*0.98)*0.985</f>
        <v>2301754.4299421</v>
      </c>
      <c r="C46" s="154"/>
      <c r="D46" s="154"/>
      <c r="E46" s="187"/>
      <c r="F46" s="200">
        <f>((H24*0.001)*0.98)*0.985</f>
        <v>2301754.4299421</v>
      </c>
      <c r="G46" s="154"/>
      <c r="H46" s="151">
        <v>50771010.01</v>
      </c>
      <c r="I46" s="150" t="s">
        <v>125</v>
      </c>
      <c r="J46" s="150" t="s">
        <v>265</v>
      </c>
      <c r="K46" s="150"/>
      <c r="L46" s="154"/>
    </row>
    <row r="47" spans="1:12" ht="19.5" thickBot="1" thickTop="1">
      <c r="A47" s="195"/>
      <c r="B47" s="194"/>
      <c r="C47" s="154"/>
      <c r="D47" s="154"/>
      <c r="E47" s="204"/>
      <c r="F47" s="194"/>
      <c r="G47" s="154"/>
      <c r="H47" s="152">
        <v>48129501.8</v>
      </c>
      <c r="I47" s="153" t="s">
        <v>125</v>
      </c>
      <c r="J47" s="153" t="s">
        <v>264</v>
      </c>
      <c r="K47" s="205"/>
      <c r="L47" s="154"/>
    </row>
    <row r="48" spans="1:12" ht="18">
      <c r="A48" s="195"/>
      <c r="B48" s="194"/>
      <c r="C48" s="154"/>
      <c r="D48" s="154"/>
      <c r="E48" s="204"/>
      <c r="F48" s="194"/>
      <c r="G48" s="154"/>
      <c r="H48" s="151">
        <f>SUM(H46-H47)</f>
        <v>2641508.210000001</v>
      </c>
      <c r="I48" s="150"/>
      <c r="J48" s="150"/>
      <c r="K48" s="154"/>
      <c r="L48" s="154"/>
    </row>
    <row r="49" spans="1:23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3" ht="13.5" thickBot="1"/>
    <row r="54" spans="3:4" ht="13.5" thickTop="1">
      <c r="C54" s="139" t="s">
        <v>125</v>
      </c>
      <c r="D54" s="140"/>
    </row>
    <row r="55" spans="3:18" ht="12.75">
      <c r="C55" s="141"/>
      <c r="D55" s="118"/>
      <c r="F55" s="1" t="s">
        <v>54</v>
      </c>
      <c r="G55" s="1" t="s">
        <v>55</v>
      </c>
      <c r="H55" s="1" t="s">
        <v>56</v>
      </c>
      <c r="I55" s="1"/>
      <c r="J55" s="81"/>
      <c r="K55" s="81"/>
      <c r="L55" s="133"/>
      <c r="M55" s="1" t="s">
        <v>54</v>
      </c>
      <c r="N55" s="1" t="s">
        <v>55</v>
      </c>
      <c r="O55" s="1" t="s">
        <v>56</v>
      </c>
      <c r="P55" s="1"/>
      <c r="Q55" s="81"/>
      <c r="R55" s="81"/>
    </row>
    <row r="56" spans="3:18" ht="13.5" thickBot="1">
      <c r="C56" s="142">
        <v>21.7479</v>
      </c>
      <c r="D56" s="143"/>
      <c r="F56" s="2" t="s">
        <v>47</v>
      </c>
      <c r="G56" s="2" t="s">
        <v>48</v>
      </c>
      <c r="H56" s="2" t="s">
        <v>26</v>
      </c>
      <c r="I56" s="18"/>
      <c r="J56" s="82"/>
      <c r="K56" s="82"/>
      <c r="L56" s="133"/>
      <c r="M56" s="2" t="s">
        <v>47</v>
      </c>
      <c r="N56" s="2" t="s">
        <v>48</v>
      </c>
      <c r="O56" s="2" t="s">
        <v>26</v>
      </c>
      <c r="P56" s="18"/>
      <c r="Q56" s="82"/>
      <c r="R56" s="82"/>
    </row>
    <row r="57" spans="1:18" ht="12.75">
      <c r="A57" s="4" t="s">
        <v>81</v>
      </c>
      <c r="C57" s="144">
        <v>5.1</v>
      </c>
      <c r="D57" s="143" t="s">
        <v>253</v>
      </c>
      <c r="F57" s="14">
        <f>V6</f>
        <v>2357933172</v>
      </c>
      <c r="G57" s="14">
        <f>V4</f>
        <v>58719485</v>
      </c>
      <c r="H57" s="3">
        <f>F57+G57</f>
        <v>2416652657</v>
      </c>
      <c r="I57" s="3"/>
      <c r="J57" s="3"/>
      <c r="K57" s="3"/>
      <c r="L57" s="133"/>
      <c r="M57" s="14">
        <f>V6</f>
        <v>2357933172</v>
      </c>
      <c r="N57" s="14">
        <f>V4</f>
        <v>58719485</v>
      </c>
      <c r="O57" s="3">
        <f>M57+N57</f>
        <v>2416652657</v>
      </c>
      <c r="P57" s="3"/>
      <c r="Q57" s="3"/>
      <c r="R57" s="3"/>
    </row>
    <row r="58" spans="1:18" ht="12.75">
      <c r="A58" s="4"/>
      <c r="C58" s="142">
        <f>SUM(C56*C57)</f>
        <v>110.91429</v>
      </c>
      <c r="D58" s="143"/>
      <c r="F58" s="14"/>
      <c r="G58" s="14"/>
      <c r="H58" s="3"/>
      <c r="I58" s="3"/>
      <c r="J58" s="3"/>
      <c r="K58" s="3"/>
      <c r="L58" s="133"/>
      <c r="M58" s="14"/>
      <c r="N58" s="14"/>
      <c r="O58" s="3"/>
      <c r="P58" s="3"/>
      <c r="Q58" s="3"/>
      <c r="R58" s="3"/>
    </row>
    <row r="59" spans="1:18" ht="12.75">
      <c r="A59" s="25" t="s">
        <v>4</v>
      </c>
      <c r="C59" s="142"/>
      <c r="D59" s="143"/>
      <c r="F59" s="14"/>
      <c r="G59" s="14"/>
      <c r="H59" s="3"/>
      <c r="I59" s="3"/>
      <c r="J59" s="3"/>
      <c r="K59" s="3"/>
      <c r="L59" s="133"/>
      <c r="M59" s="14"/>
      <c r="N59" s="14"/>
      <c r="O59" s="3"/>
      <c r="P59" s="3"/>
      <c r="Q59" s="3"/>
      <c r="R59" s="3"/>
    </row>
    <row r="60" spans="1:18" ht="12.75">
      <c r="A60" s="4"/>
      <c r="C60" s="145"/>
      <c r="D60" s="143"/>
      <c r="F60" s="14"/>
      <c r="G60" s="14"/>
      <c r="H60" s="3"/>
      <c r="I60" s="3"/>
      <c r="J60" s="3"/>
      <c r="K60" s="3"/>
      <c r="L60" s="133"/>
      <c r="M60" s="14"/>
      <c r="N60" s="14"/>
      <c r="O60" s="3"/>
      <c r="P60" s="3"/>
      <c r="Q60" s="3"/>
      <c r="R60" s="3"/>
    </row>
    <row r="61" spans="1:18" ht="12.75">
      <c r="A61" s="25" t="s">
        <v>5</v>
      </c>
      <c r="C61" s="142">
        <v>21.7479</v>
      </c>
      <c r="D61" s="143" t="s">
        <v>124</v>
      </c>
      <c r="F61" s="80">
        <v>0</v>
      </c>
      <c r="G61" s="80">
        <v>0</v>
      </c>
      <c r="H61" s="24">
        <f>F61+G61</f>
        <v>0</v>
      </c>
      <c r="I61" s="3"/>
      <c r="J61" s="3"/>
      <c r="K61" s="3"/>
      <c r="L61" s="133"/>
      <c r="M61" s="80">
        <v>0</v>
      </c>
      <c r="N61" s="80">
        <v>0</v>
      </c>
      <c r="O61" s="24">
        <f>M61+N61</f>
        <v>0</v>
      </c>
      <c r="P61" s="3"/>
      <c r="Q61" s="3"/>
      <c r="R61" s="3"/>
    </row>
    <row r="62" spans="1:18" ht="12.75">
      <c r="A62" s="16"/>
      <c r="C62" s="144">
        <v>1.1091</v>
      </c>
      <c r="D62" s="143"/>
      <c r="F62" s="14"/>
      <c r="G62" s="14"/>
      <c r="H62" s="3"/>
      <c r="I62" s="3"/>
      <c r="J62" s="3"/>
      <c r="K62" s="3"/>
      <c r="L62" s="133"/>
      <c r="M62" s="14"/>
      <c r="N62" s="14"/>
      <c r="O62" s="3"/>
      <c r="P62" s="3"/>
      <c r="Q62" s="3"/>
      <c r="R62" s="3"/>
    </row>
    <row r="63" spans="1:18" ht="13.5" thickBot="1">
      <c r="A63" s="4" t="s">
        <v>82</v>
      </c>
      <c r="C63" s="146">
        <f>SUM(C61:C62)</f>
        <v>22.857000000000003</v>
      </c>
      <c r="D63" s="147" t="s">
        <v>125</v>
      </c>
      <c r="F63" s="14">
        <f>SUM(F57:F61)</f>
        <v>2357933172</v>
      </c>
      <c r="G63" s="14">
        <f>SUM(G57:G61)</f>
        <v>58719485</v>
      </c>
      <c r="H63" s="14">
        <f>SUM(H57:H61)</f>
        <v>2416652657</v>
      </c>
      <c r="I63" s="3"/>
      <c r="J63" s="3"/>
      <c r="K63" s="3"/>
      <c r="L63" s="133"/>
      <c r="M63" s="14">
        <f>SUM(M57:M61)</f>
        <v>2357933172</v>
      </c>
      <c r="N63" s="14">
        <f>SUM(N57:N61)</f>
        <v>58719485</v>
      </c>
      <c r="O63" s="14">
        <f>SUM(O57:O61)</f>
        <v>2416652657</v>
      </c>
      <c r="P63" s="3"/>
      <c r="Q63" s="3"/>
      <c r="R63" s="3"/>
    </row>
    <row r="64" spans="1:18" ht="13.5" thickTop="1">
      <c r="A64" s="4"/>
      <c r="C64" s="138"/>
      <c r="F64" s="14"/>
      <c r="G64" s="14"/>
      <c r="H64" s="3"/>
      <c r="I64" s="100" t="s">
        <v>200</v>
      </c>
      <c r="J64" s="5"/>
      <c r="K64" s="134"/>
      <c r="L64" s="133"/>
      <c r="M64" s="14"/>
      <c r="N64" s="14"/>
      <c r="O64" s="3"/>
      <c r="P64" s="100" t="s">
        <v>205</v>
      </c>
      <c r="Q64" s="5"/>
      <c r="R64" s="5"/>
    </row>
    <row r="65" spans="1:18" ht="12.75">
      <c r="A65" s="17" t="s">
        <v>173</v>
      </c>
      <c r="C65" s="138"/>
      <c r="F65" s="116" t="s">
        <v>202</v>
      </c>
      <c r="G65" s="116" t="s">
        <v>202</v>
      </c>
      <c r="H65" s="116" t="s">
        <v>202</v>
      </c>
      <c r="I65" s="85" t="s">
        <v>201</v>
      </c>
      <c r="J65" s="52"/>
      <c r="K65" s="52"/>
      <c r="L65" s="133"/>
      <c r="M65" s="116" t="s">
        <v>209</v>
      </c>
      <c r="N65" s="116" t="s">
        <v>209</v>
      </c>
      <c r="O65" s="116" t="s">
        <v>209</v>
      </c>
      <c r="P65" s="85" t="s">
        <v>206</v>
      </c>
      <c r="Q65" s="52"/>
      <c r="R65" s="52"/>
    </row>
    <row r="66" spans="1:18" ht="12.75">
      <c r="A66" s="4"/>
      <c r="C66" s="138"/>
      <c r="F66" s="14"/>
      <c r="G66" s="14"/>
      <c r="H66" s="3"/>
      <c r="I66" s="3"/>
      <c r="J66" s="3"/>
      <c r="K66" s="3"/>
      <c r="L66" s="133"/>
      <c r="M66" s="14"/>
      <c r="N66" s="14"/>
      <c r="O66" s="3"/>
      <c r="P66" s="3"/>
      <c r="Q66" s="3"/>
      <c r="R66" s="3"/>
    </row>
    <row r="67" spans="1:18" ht="12.75">
      <c r="A67" s="4" t="s">
        <v>58</v>
      </c>
      <c r="F67" s="3">
        <f>F63*0.0201655</f>
        <v>47548901.379966</v>
      </c>
      <c r="G67" s="3">
        <f>G63*0.0201655</f>
        <v>1184107.7747674999</v>
      </c>
      <c r="H67" s="3">
        <f>H63*0.0201655</f>
        <v>48733009.1547335</v>
      </c>
      <c r="I67" s="3"/>
      <c r="J67" s="3"/>
      <c r="K67" s="3"/>
      <c r="L67" s="133"/>
      <c r="M67" s="3">
        <f>M63*0.0200662</f>
        <v>47314758.6159864</v>
      </c>
      <c r="N67" s="3">
        <f>N63*0.0200662</f>
        <v>1178276.929907</v>
      </c>
      <c r="O67" s="3">
        <f>O63*0.0200662</f>
        <v>48493035.5458934</v>
      </c>
      <c r="P67" s="3"/>
      <c r="Q67" s="3"/>
      <c r="R67" s="3"/>
    </row>
    <row r="68" spans="8:18" ht="12.75">
      <c r="H68" s="3"/>
      <c r="I68" s="3"/>
      <c r="J68" s="3"/>
      <c r="K68" s="3"/>
      <c r="L68" s="133"/>
      <c r="O68" s="3"/>
      <c r="P68" s="3"/>
      <c r="Q68" s="3"/>
      <c r="R68" s="3"/>
    </row>
    <row r="69" spans="1:18" ht="12.75">
      <c r="A69" s="4" t="s">
        <v>51</v>
      </c>
      <c r="F69" s="5">
        <f>F67*0.02</f>
        <v>950978.0275993199</v>
      </c>
      <c r="G69" s="5">
        <f>G67*0.02</f>
        <v>23682.155495349998</v>
      </c>
      <c r="H69" s="5">
        <f>H67*0.02</f>
        <v>974660.1830946701</v>
      </c>
      <c r="I69" s="8"/>
      <c r="J69" s="8"/>
      <c r="K69" s="8"/>
      <c r="L69" s="133"/>
      <c r="M69" s="5">
        <f>M67*0.02</f>
        <v>946295.172319728</v>
      </c>
      <c r="N69" s="5">
        <f>N67*0.02</f>
        <v>23565.53859814</v>
      </c>
      <c r="O69" s="5">
        <f>O67*0.02</f>
        <v>969860.7109178681</v>
      </c>
      <c r="P69" s="8"/>
      <c r="Q69" s="8"/>
      <c r="R69" s="8"/>
    </row>
    <row r="70" ht="12.75">
      <c r="L70" s="133"/>
    </row>
    <row r="71" spans="1:18" ht="12.75">
      <c r="A71" s="4" t="s">
        <v>59</v>
      </c>
      <c r="F71" s="14">
        <f>F67-F69</f>
        <v>46597923.35236668</v>
      </c>
      <c r="G71" s="14">
        <f>G67-G69</f>
        <v>1160425.6192721499</v>
      </c>
      <c r="H71" s="14">
        <f>H67-H69</f>
        <v>47758348.97163883</v>
      </c>
      <c r="I71" s="14"/>
      <c r="J71" s="14"/>
      <c r="K71" s="14"/>
      <c r="L71" s="133"/>
      <c r="M71" s="14">
        <f>M67-M69</f>
        <v>46368463.443666674</v>
      </c>
      <c r="N71" s="14">
        <f>N67-N69</f>
        <v>1154711.39130886</v>
      </c>
      <c r="O71" s="14">
        <f>O67-O69</f>
        <v>47523174.83497553</v>
      </c>
      <c r="P71" s="14"/>
      <c r="Q71" s="14"/>
      <c r="R71" s="14"/>
    </row>
    <row r="72" ht="12.75">
      <c r="L72" s="133"/>
    </row>
    <row r="73" spans="1:18" ht="12.75">
      <c r="A73" s="17" t="s">
        <v>218</v>
      </c>
      <c r="F73" s="115" t="s">
        <v>128</v>
      </c>
      <c r="G73" s="115" t="s">
        <v>128</v>
      </c>
      <c r="H73" s="115" t="s">
        <v>128</v>
      </c>
      <c r="I73" s="53"/>
      <c r="J73" s="53"/>
      <c r="K73" s="53"/>
      <c r="L73" s="133"/>
      <c r="M73" s="115" t="s">
        <v>128</v>
      </c>
      <c r="N73" s="115" t="s">
        <v>128</v>
      </c>
      <c r="O73" s="115" t="s">
        <v>128</v>
      </c>
      <c r="P73" s="53"/>
      <c r="Q73" s="53"/>
      <c r="R73" s="53"/>
    </row>
    <row r="74" ht="12.75">
      <c r="L74" s="133"/>
    </row>
    <row r="75" spans="1:18" ht="12.75">
      <c r="A75" s="17" t="s">
        <v>192</v>
      </c>
      <c r="F75" s="54">
        <f>F71*0.977</f>
        <v>45526171.11526224</v>
      </c>
      <c r="G75" s="54">
        <f>G71*0.977</f>
        <v>1133735.8300288904</v>
      </c>
      <c r="H75" s="54">
        <f>H71*0.977</f>
        <v>46659906.94529113</v>
      </c>
      <c r="I75" s="20"/>
      <c r="J75" s="20"/>
      <c r="K75" s="20"/>
      <c r="L75" s="133"/>
      <c r="M75" s="54">
        <f>M71*0.977</f>
        <v>45301988.78446234</v>
      </c>
      <c r="N75" s="54">
        <f>N71*0.977</f>
        <v>1128153.029308756</v>
      </c>
      <c r="O75" s="54">
        <f>O71*0.977</f>
        <v>46430141.81377109</v>
      </c>
      <c r="P75" s="20"/>
      <c r="Q75" s="20"/>
      <c r="R75" s="20"/>
    </row>
    <row r="76" spans="1:18" ht="12.75">
      <c r="A76" s="10"/>
      <c r="F76" s="20"/>
      <c r="G76" s="20"/>
      <c r="H76" s="20"/>
      <c r="I76" s="20"/>
      <c r="J76" s="77" t="s">
        <v>76</v>
      </c>
      <c r="K76" s="77"/>
      <c r="L76" s="133"/>
      <c r="M76" s="20"/>
      <c r="N76" s="20"/>
      <c r="O76" s="20"/>
      <c r="P76" s="20"/>
      <c r="Q76" s="77" t="s">
        <v>76</v>
      </c>
      <c r="R76" s="77"/>
    </row>
    <row r="77" spans="1:18" ht="12.75">
      <c r="A77" s="70" t="s">
        <v>193</v>
      </c>
      <c r="F77" s="71">
        <v>1366419.93</v>
      </c>
      <c r="G77" s="71">
        <v>93888.36</v>
      </c>
      <c r="H77" s="71">
        <f>F77+G77</f>
        <v>1460308.29</v>
      </c>
      <c r="I77" s="20"/>
      <c r="J77" s="77" t="s">
        <v>203</v>
      </c>
      <c r="K77" s="77"/>
      <c r="L77" s="133"/>
      <c r="M77" s="71">
        <v>1366419.93</v>
      </c>
      <c r="N77" s="71">
        <v>93888.36</v>
      </c>
      <c r="O77" s="71">
        <f>M77+N77</f>
        <v>1460308.29</v>
      </c>
      <c r="P77" s="20"/>
      <c r="Q77" s="77" t="s">
        <v>207</v>
      </c>
      <c r="R77" s="77"/>
    </row>
    <row r="78" spans="1:18" ht="12.75">
      <c r="A78" s="70"/>
      <c r="F78" s="20"/>
      <c r="G78" s="20"/>
      <c r="H78" s="20"/>
      <c r="I78" s="20"/>
      <c r="J78" s="87" t="s">
        <v>30</v>
      </c>
      <c r="K78" s="77"/>
      <c r="L78" s="133"/>
      <c r="M78" s="20"/>
      <c r="N78" s="20"/>
      <c r="O78" s="20"/>
      <c r="P78" s="20"/>
      <c r="Q78" s="87" t="s">
        <v>30</v>
      </c>
      <c r="R78" s="77"/>
    </row>
    <row r="79" spans="1:18" ht="13.5" thickBot="1">
      <c r="A79" s="1" t="s">
        <v>71</v>
      </c>
      <c r="F79" s="41">
        <f>F75-F77</f>
        <v>44159751.18526224</v>
      </c>
      <c r="G79" s="41">
        <f>G75-G77</f>
        <v>1039847.4700288904</v>
      </c>
      <c r="H79" s="41">
        <f>H75-H77</f>
        <v>45199598.65529113</v>
      </c>
      <c r="I79" s="20"/>
      <c r="J79" s="41">
        <f>H79-D40</f>
        <v>-2929903.144956857</v>
      </c>
      <c r="K79" s="20"/>
      <c r="L79" s="133"/>
      <c r="M79" s="41">
        <f>M75-M77</f>
        <v>43935568.85446234</v>
      </c>
      <c r="N79" s="41">
        <f>N75-N77</f>
        <v>1034264.6693087561</v>
      </c>
      <c r="O79" s="41">
        <f>O75-O77</f>
        <v>44969833.52377109</v>
      </c>
      <c r="P79" s="20"/>
      <c r="Q79" s="41">
        <f>O79-D40</f>
        <v>-3159668.2764768973</v>
      </c>
      <c r="R79" s="20"/>
    </row>
    <row r="80" spans="1:18" ht="13.5" thickTop="1">
      <c r="A80" s="10"/>
      <c r="F80" s="20"/>
      <c r="G80" s="20"/>
      <c r="H80" s="20"/>
      <c r="I80" s="20"/>
      <c r="J80" s="77" t="s">
        <v>73</v>
      </c>
      <c r="K80" s="77"/>
      <c r="L80" s="133"/>
      <c r="M80" s="20"/>
      <c r="N80" s="20"/>
      <c r="O80" s="20"/>
      <c r="P80" s="20"/>
      <c r="Q80" s="77" t="s">
        <v>73</v>
      </c>
      <c r="R80" s="77"/>
    </row>
    <row r="81" spans="1:18" ht="13.5" thickBot="1">
      <c r="A81" s="17" t="s">
        <v>194</v>
      </c>
      <c r="F81" s="42">
        <f>F71-F75</f>
        <v>1071752.2371044382</v>
      </c>
      <c r="G81" s="42">
        <f>G71-G75</f>
        <v>26689.789243259467</v>
      </c>
      <c r="H81" s="42">
        <f>H71-H75</f>
        <v>1098442.0263476968</v>
      </c>
      <c r="I81" s="79" t="s">
        <v>6</v>
      </c>
      <c r="J81" s="80">
        <v>0</v>
      </c>
      <c r="K81" s="20" t="s">
        <v>1</v>
      </c>
      <c r="L81" s="133"/>
      <c r="M81" s="42">
        <f>M71-M75</f>
        <v>1066474.659204334</v>
      </c>
      <c r="N81" s="42">
        <f>N71-N75</f>
        <v>26558.362000103807</v>
      </c>
      <c r="O81" s="42">
        <f>O71-O75</f>
        <v>1093033.0212044418</v>
      </c>
      <c r="P81" s="79" t="s">
        <v>6</v>
      </c>
      <c r="Q81" s="80">
        <v>0</v>
      </c>
      <c r="R81" s="20" t="s">
        <v>1</v>
      </c>
    </row>
    <row r="82" ht="13.5" thickTop="1">
      <c r="L82" s="133"/>
    </row>
    <row r="83" spans="1:18" ht="13.5" thickBot="1">
      <c r="A83" s="10" t="s">
        <v>195</v>
      </c>
      <c r="F83" s="41">
        <f>H63*0.001</f>
        <v>2416652.657</v>
      </c>
      <c r="I83" s="45" t="s">
        <v>204</v>
      </c>
      <c r="J83" s="41">
        <f>J79+J81</f>
        <v>-2929903.144956857</v>
      </c>
      <c r="K83" s="20"/>
      <c r="L83" s="133"/>
      <c r="M83" s="41">
        <f>O63*0.001</f>
        <v>2416652.657</v>
      </c>
      <c r="P83" s="45" t="s">
        <v>208</v>
      </c>
      <c r="Q83" s="41">
        <f>Q79+Q81</f>
        <v>-3159668.2764768973</v>
      </c>
      <c r="R83" s="20"/>
    </row>
    <row r="84" ht="13.5" thickTop="1"/>
    <row r="85" spans="1:13" ht="13.5" thickBot="1">
      <c r="A85" s="10" t="s">
        <v>196</v>
      </c>
      <c r="F85" s="41">
        <f>((H63*0.001)*0.98)*0.967</f>
        <v>2290165.0569326202</v>
      </c>
      <c r="M85" s="41">
        <f>((O63*0.001)*0.98)*0.967</f>
        <v>2290165.0569326202</v>
      </c>
    </row>
    <row r="86" ht="13.5" thickTop="1"/>
  </sheetData>
  <sheetProtection/>
  <printOptions gridLines="1"/>
  <pageMargins left="0.7" right="0.7" top="0.75" bottom="0.75" header="0.3" footer="0.3"/>
  <pageSetup fitToHeight="1" fitToWidth="1" horizontalDpi="600" verticalDpi="600" orientation="landscape" paperSize="5" scale="51" r:id="rId1"/>
  <headerFooter>
    <oddHeader>&amp;CREAL ESTATE
2023-2024
MILLAGE CALCULATIONS&amp;R05/09/2023
MSZ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83"/>
  <sheetViews>
    <sheetView zoomScalePageLayoutView="0" workbookViewId="0" topLeftCell="A1">
      <pane ySplit="3" topLeftCell="A18" activePane="bottomLeft" state="frozen"/>
      <selection pane="topLeft" activeCell="A1" sqref="A1"/>
      <selection pane="bottomLeft" activeCell="F38" sqref="F38"/>
    </sheetView>
  </sheetViews>
  <sheetFormatPr defaultColWidth="9.140625" defaultRowHeight="12.75"/>
  <cols>
    <col min="1" max="1" width="74.00390625" style="0" bestFit="1" customWidth="1"/>
    <col min="2" max="2" width="17.57421875" style="0" bestFit="1" customWidth="1"/>
    <col min="3" max="3" width="16.57421875" style="0" bestFit="1" customWidth="1"/>
    <col min="4" max="4" width="18.28125" style="0" bestFit="1" customWidth="1"/>
    <col min="5" max="5" width="16.8515625" style="0" bestFit="1" customWidth="1"/>
    <col min="6" max="6" width="17.57421875" style="0" bestFit="1" customWidth="1"/>
    <col min="7" max="7" width="16.57421875" style="0" bestFit="1" customWidth="1"/>
    <col min="8" max="8" width="18.28125" style="0" bestFit="1" customWidth="1"/>
    <col min="9" max="9" width="19.7109375" style="0" customWidth="1"/>
    <col min="10" max="10" width="21.8515625" style="0" bestFit="1" customWidth="1"/>
    <col min="11" max="11" width="21.421875" style="0" bestFit="1" customWidth="1"/>
    <col min="12" max="12" width="16.57421875" style="0" bestFit="1" customWidth="1"/>
    <col min="13" max="13" width="17.57421875" style="0" bestFit="1" customWidth="1"/>
    <col min="14" max="14" width="16.57421875" style="0" bestFit="1" customWidth="1"/>
    <col min="15" max="15" width="18.28125" style="0" bestFit="1" customWidth="1"/>
    <col min="16" max="16" width="16.57421875" style="0" customWidth="1"/>
    <col min="17" max="17" width="19.00390625" style="0" customWidth="1"/>
    <col min="18" max="18" width="16.57421875" style="0" bestFit="1" customWidth="1"/>
    <col min="19" max="19" width="17.57421875" style="0" bestFit="1" customWidth="1"/>
    <col min="20" max="20" width="16.57421875" style="0" bestFit="1" customWidth="1"/>
    <col min="21" max="21" width="16.57421875" style="0" customWidth="1"/>
    <col min="22" max="22" width="16.57421875" style="0" bestFit="1" customWidth="1"/>
    <col min="23" max="23" width="14.00390625" style="0" bestFit="1" customWidth="1"/>
    <col min="24" max="24" width="13.28125" style="0" bestFit="1" customWidth="1"/>
  </cols>
  <sheetData>
    <row r="1" spans="2:24" ht="12.75">
      <c r="B1" s="67" t="s">
        <v>45</v>
      </c>
      <c r="C1" s="67" t="s">
        <v>46</v>
      </c>
      <c r="D1" s="60" t="s">
        <v>61</v>
      </c>
      <c r="E1" s="60" t="s">
        <v>65</v>
      </c>
      <c r="F1" s="57" t="s">
        <v>165</v>
      </c>
      <c r="G1" s="60" t="s">
        <v>164</v>
      </c>
      <c r="H1" s="60" t="s">
        <v>163</v>
      </c>
      <c r="I1" s="60" t="s">
        <v>162</v>
      </c>
      <c r="J1" s="60" t="s">
        <v>161</v>
      </c>
      <c r="K1" s="60" t="s">
        <v>160</v>
      </c>
      <c r="L1" s="101" t="s">
        <v>159</v>
      </c>
      <c r="M1" s="101" t="s">
        <v>158</v>
      </c>
      <c r="N1" s="101" t="s">
        <v>157</v>
      </c>
      <c r="O1" s="101" t="s">
        <v>156</v>
      </c>
      <c r="P1" s="101" t="s">
        <v>155</v>
      </c>
      <c r="Q1" s="101" t="s">
        <v>154</v>
      </c>
      <c r="R1" s="101" t="s">
        <v>153</v>
      </c>
      <c r="S1" s="101" t="s">
        <v>172</v>
      </c>
      <c r="T1" s="101" t="s">
        <v>191</v>
      </c>
      <c r="U1" s="101" t="s">
        <v>214</v>
      </c>
      <c r="V1" s="101" t="s">
        <v>226</v>
      </c>
      <c r="W1" s="37" t="s">
        <v>24</v>
      </c>
      <c r="X1" s="37" t="s">
        <v>39</v>
      </c>
    </row>
    <row r="2" spans="2:24" ht="12.75">
      <c r="B2" s="61">
        <v>37866</v>
      </c>
      <c r="C2" s="61">
        <v>38153</v>
      </c>
      <c r="D2" s="61">
        <v>38470</v>
      </c>
      <c r="E2" s="61" t="s">
        <v>66</v>
      </c>
      <c r="F2" s="58">
        <v>38766</v>
      </c>
      <c r="G2" s="61">
        <v>39113</v>
      </c>
      <c r="H2" s="61">
        <v>39521</v>
      </c>
      <c r="I2" s="61">
        <v>39941</v>
      </c>
      <c r="J2" s="61">
        <v>40333</v>
      </c>
      <c r="K2" s="61">
        <v>40696</v>
      </c>
      <c r="L2" s="103">
        <v>41047</v>
      </c>
      <c r="M2" s="95">
        <v>41439</v>
      </c>
      <c r="N2" s="103">
        <v>41803</v>
      </c>
      <c r="O2" s="103">
        <v>42174</v>
      </c>
      <c r="P2" s="103">
        <v>42538</v>
      </c>
      <c r="Q2" s="103">
        <v>42867</v>
      </c>
      <c r="R2" s="103">
        <v>43266</v>
      </c>
      <c r="S2" s="103">
        <v>43630</v>
      </c>
      <c r="T2" s="103">
        <v>43980</v>
      </c>
      <c r="U2" s="103">
        <v>44351</v>
      </c>
      <c r="V2" s="103">
        <v>44722</v>
      </c>
      <c r="W2" s="55" t="s">
        <v>227</v>
      </c>
      <c r="X2" s="55" t="s">
        <v>227</v>
      </c>
    </row>
    <row r="3" spans="1:24" ht="13.5" thickBot="1">
      <c r="A3" s="22" t="s">
        <v>43</v>
      </c>
      <c r="B3" s="62" t="s">
        <v>44</v>
      </c>
      <c r="C3" s="62" t="s">
        <v>44</v>
      </c>
      <c r="D3" s="62" t="s">
        <v>44</v>
      </c>
      <c r="E3" s="62" t="s">
        <v>44</v>
      </c>
      <c r="F3" s="28" t="s">
        <v>44</v>
      </c>
      <c r="G3" s="62" t="s">
        <v>44</v>
      </c>
      <c r="H3" s="62" t="s">
        <v>44</v>
      </c>
      <c r="I3" s="62" t="s">
        <v>44</v>
      </c>
      <c r="J3" s="62" t="s">
        <v>44</v>
      </c>
      <c r="K3" s="62" t="s">
        <v>44</v>
      </c>
      <c r="L3" s="99" t="s">
        <v>44</v>
      </c>
      <c r="M3" s="47" t="s">
        <v>44</v>
      </c>
      <c r="N3" s="47" t="s">
        <v>44</v>
      </c>
      <c r="O3" s="47" t="s">
        <v>44</v>
      </c>
      <c r="P3" s="47" t="s">
        <v>44</v>
      </c>
      <c r="Q3" s="47" t="s">
        <v>44</v>
      </c>
      <c r="R3" s="47" t="s">
        <v>44</v>
      </c>
      <c r="S3" s="47" t="s">
        <v>44</v>
      </c>
      <c r="T3" s="47" t="s">
        <v>44</v>
      </c>
      <c r="U3" s="47" t="s">
        <v>44</v>
      </c>
      <c r="V3" s="47" t="s">
        <v>44</v>
      </c>
      <c r="W3" s="46" t="s">
        <v>246</v>
      </c>
      <c r="X3" s="46" t="s">
        <v>246</v>
      </c>
    </row>
    <row r="4" spans="1:24" ht="12.75">
      <c r="A4" s="4" t="s">
        <v>53</v>
      </c>
      <c r="B4" s="63">
        <v>68280240</v>
      </c>
      <c r="C4" s="63">
        <v>67878840</v>
      </c>
      <c r="D4" s="63">
        <v>67473840</v>
      </c>
      <c r="E4" s="63">
        <v>67333040</v>
      </c>
      <c r="F4" s="29">
        <v>67460140</v>
      </c>
      <c r="G4" s="63">
        <v>67233540</v>
      </c>
      <c r="H4" s="29">
        <v>67110118</v>
      </c>
      <c r="I4" s="29">
        <v>66531218</v>
      </c>
      <c r="J4" s="29">
        <v>66081618</v>
      </c>
      <c r="K4" s="29">
        <v>65963818</v>
      </c>
      <c r="L4" s="96">
        <v>65493668</v>
      </c>
      <c r="M4" s="96">
        <v>62516185</v>
      </c>
      <c r="N4" s="96">
        <v>61957585</v>
      </c>
      <c r="O4" s="96">
        <v>59118385</v>
      </c>
      <c r="P4" s="96">
        <v>59040185</v>
      </c>
      <c r="Q4" s="96">
        <v>58920985</v>
      </c>
      <c r="R4" s="96">
        <v>58485255</v>
      </c>
      <c r="S4" s="96">
        <v>58285685</v>
      </c>
      <c r="T4" s="96">
        <v>58206185</v>
      </c>
      <c r="U4" s="96">
        <v>58022285</v>
      </c>
      <c r="V4" s="96">
        <v>58719485</v>
      </c>
      <c r="W4" s="38">
        <f>V4-U4</f>
        <v>697200</v>
      </c>
      <c r="X4" s="106">
        <f>W4/U4</f>
        <v>0.012016072789963373</v>
      </c>
    </row>
    <row r="5" spans="2:24" ht="12.75">
      <c r="B5" s="63"/>
      <c r="C5" s="63"/>
      <c r="D5" s="63"/>
      <c r="E5" s="63"/>
      <c r="F5" s="29"/>
      <c r="G5" s="63"/>
      <c r="H5" s="29"/>
      <c r="I5" s="29"/>
      <c r="J5" s="29"/>
      <c r="K5" s="29"/>
      <c r="L5" s="97"/>
      <c r="M5" s="35"/>
      <c r="N5" s="35"/>
      <c r="O5" s="35"/>
      <c r="P5" s="35"/>
      <c r="Q5" s="35"/>
      <c r="R5" s="35"/>
      <c r="S5" s="35"/>
      <c r="T5" s="35"/>
      <c r="U5" s="35"/>
      <c r="V5" s="35"/>
      <c r="W5" s="38"/>
      <c r="X5" s="107"/>
    </row>
    <row r="6" spans="1:24" ht="12.75">
      <c r="A6" s="4" t="s">
        <v>52</v>
      </c>
      <c r="B6" s="64">
        <v>1967062440</v>
      </c>
      <c r="C6" s="64">
        <v>1984591881</v>
      </c>
      <c r="D6" s="64">
        <v>2014604467</v>
      </c>
      <c r="E6" s="64">
        <v>2014604467</v>
      </c>
      <c r="F6" s="30">
        <v>2042103196</v>
      </c>
      <c r="G6" s="64">
        <v>2064807396</v>
      </c>
      <c r="H6" s="30">
        <v>2109203476</v>
      </c>
      <c r="I6" s="30">
        <v>2109856570</v>
      </c>
      <c r="J6" s="30">
        <v>2090315020</v>
      </c>
      <c r="K6" s="30">
        <v>2089104820</v>
      </c>
      <c r="L6" s="98">
        <v>2022946595</v>
      </c>
      <c r="M6" s="102">
        <v>2437234130</v>
      </c>
      <c r="N6" s="102">
        <v>2356444156</v>
      </c>
      <c r="O6" s="102">
        <v>2330148770</v>
      </c>
      <c r="P6" s="102">
        <v>2339704538</v>
      </c>
      <c r="Q6" s="102">
        <v>2329547338</v>
      </c>
      <c r="R6" s="102">
        <v>2315567373</v>
      </c>
      <c r="S6" s="102">
        <v>2324610713</v>
      </c>
      <c r="T6" s="102">
        <v>2320995533</v>
      </c>
      <c r="U6" s="102">
        <v>2340974495</v>
      </c>
      <c r="V6" s="102">
        <v>2357933172</v>
      </c>
      <c r="W6" s="39">
        <f>V6-U6</f>
        <v>16958677</v>
      </c>
      <c r="X6" s="108">
        <f>W6/U6</f>
        <v>0.007244280976243613</v>
      </c>
    </row>
    <row r="7" spans="2:24" ht="12.75">
      <c r="B7" s="63"/>
      <c r="C7" s="63"/>
      <c r="D7" s="63"/>
      <c r="E7" s="63"/>
      <c r="F7" s="29"/>
      <c r="G7" s="63"/>
      <c r="H7" s="29"/>
      <c r="I7" s="29"/>
      <c r="J7" s="29"/>
      <c r="K7" s="29"/>
      <c r="L7" s="97"/>
      <c r="M7" s="35"/>
      <c r="N7" s="35"/>
      <c r="O7" s="35"/>
      <c r="P7" s="35"/>
      <c r="Q7" s="35"/>
      <c r="R7" s="35"/>
      <c r="S7" s="35"/>
      <c r="T7" s="35"/>
      <c r="U7" s="35"/>
      <c r="V7" s="35"/>
      <c r="W7" s="38"/>
      <c r="X7" s="107"/>
    </row>
    <row r="8" spans="1:24" ht="13.5" thickBot="1">
      <c r="A8" s="17" t="s">
        <v>3</v>
      </c>
      <c r="B8" s="63">
        <f aca="true" t="shared" si="0" ref="B8:S8">B4+B6</f>
        <v>2035342680</v>
      </c>
      <c r="C8" s="63">
        <f t="shared" si="0"/>
        <v>2052470721</v>
      </c>
      <c r="D8" s="63">
        <f t="shared" si="0"/>
        <v>2082078307</v>
      </c>
      <c r="E8" s="63">
        <f t="shared" si="0"/>
        <v>2081937507</v>
      </c>
      <c r="F8" s="29">
        <f t="shared" si="0"/>
        <v>2109563336</v>
      </c>
      <c r="G8" s="63">
        <f t="shared" si="0"/>
        <v>2132040936</v>
      </c>
      <c r="H8" s="63">
        <f t="shared" si="0"/>
        <v>2176313594</v>
      </c>
      <c r="I8" s="63">
        <f t="shared" si="0"/>
        <v>2176387788</v>
      </c>
      <c r="J8" s="63">
        <f t="shared" si="0"/>
        <v>2156396638</v>
      </c>
      <c r="K8" s="63">
        <f t="shared" si="0"/>
        <v>2155068638</v>
      </c>
      <c r="L8" s="63">
        <f t="shared" si="0"/>
        <v>2088440263</v>
      </c>
      <c r="M8" s="63">
        <f t="shared" si="0"/>
        <v>2499750315</v>
      </c>
      <c r="N8" s="63">
        <f t="shared" si="0"/>
        <v>2418401741</v>
      </c>
      <c r="O8" s="63">
        <f t="shared" si="0"/>
        <v>2389267155</v>
      </c>
      <c r="P8" s="63">
        <f t="shared" si="0"/>
        <v>2398744723</v>
      </c>
      <c r="Q8" s="63">
        <f t="shared" si="0"/>
        <v>2388468323</v>
      </c>
      <c r="R8" s="63">
        <f t="shared" si="0"/>
        <v>2374052628</v>
      </c>
      <c r="S8" s="63">
        <f t="shared" si="0"/>
        <v>2382896398</v>
      </c>
      <c r="T8" s="63">
        <f>T4+T6</f>
        <v>2379201718</v>
      </c>
      <c r="U8" s="63">
        <f>U4+U6</f>
        <v>2398996780</v>
      </c>
      <c r="V8" s="63">
        <f>V4+V6</f>
        <v>2416652657</v>
      </c>
      <c r="W8" s="38">
        <f>V8-U8</f>
        <v>17655877</v>
      </c>
      <c r="X8" s="109">
        <f>W8/U8</f>
        <v>0.00735969182918203</v>
      </c>
    </row>
    <row r="9" spans="2:23" ht="13.5" thickTop="1">
      <c r="B9" s="63"/>
      <c r="C9" s="63"/>
      <c r="D9" s="63"/>
      <c r="E9" s="63"/>
      <c r="F9" s="29"/>
      <c r="G9" s="63"/>
      <c r="H9" s="63"/>
      <c r="I9" s="63"/>
      <c r="J9" s="63"/>
      <c r="K9" s="63"/>
      <c r="L9" s="63"/>
      <c r="M9" s="29"/>
      <c r="N9" s="29"/>
      <c r="O9" s="29"/>
      <c r="P9" s="29"/>
      <c r="Q9" s="29"/>
      <c r="R9" s="29"/>
      <c r="S9" s="29"/>
      <c r="T9" s="29"/>
      <c r="U9" s="29"/>
      <c r="V9" s="29"/>
      <c r="W9" s="38"/>
    </row>
    <row r="10" spans="1:23" ht="12.75">
      <c r="A10" s="4" t="s">
        <v>2</v>
      </c>
      <c r="B10" s="65" t="s">
        <v>64</v>
      </c>
      <c r="C10" s="65" t="s">
        <v>64</v>
      </c>
      <c r="D10" s="65" t="s">
        <v>64</v>
      </c>
      <c r="E10" s="65" t="s">
        <v>64</v>
      </c>
      <c r="F10" s="59" t="s">
        <v>64</v>
      </c>
      <c r="G10" s="65" t="s">
        <v>64</v>
      </c>
      <c r="H10" s="65" t="s">
        <v>64</v>
      </c>
      <c r="I10" s="65" t="s">
        <v>64</v>
      </c>
      <c r="J10" s="65" t="s">
        <v>64</v>
      </c>
      <c r="K10" s="65" t="s">
        <v>80</v>
      </c>
      <c r="L10" s="65" t="s">
        <v>86</v>
      </c>
      <c r="M10" s="65" t="s">
        <v>95</v>
      </c>
      <c r="N10" s="65" t="s">
        <v>96</v>
      </c>
      <c r="O10" s="117" t="s">
        <v>117</v>
      </c>
      <c r="P10" s="117" t="s">
        <v>117</v>
      </c>
      <c r="Q10" s="117" t="s">
        <v>117</v>
      </c>
      <c r="R10" s="117" t="s">
        <v>149</v>
      </c>
      <c r="S10" s="117" t="s">
        <v>149</v>
      </c>
      <c r="T10" s="117" t="s">
        <v>202</v>
      </c>
      <c r="U10" s="117" t="s">
        <v>202</v>
      </c>
      <c r="V10" s="117" t="s">
        <v>202</v>
      </c>
      <c r="W10" s="48" t="s">
        <v>216</v>
      </c>
    </row>
    <row r="11" spans="2:23" ht="12.75">
      <c r="B11" s="63"/>
      <c r="C11" s="63"/>
      <c r="D11" s="63"/>
      <c r="E11" s="63"/>
      <c r="F11" s="29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38"/>
    </row>
    <row r="12" spans="1:23" ht="13.5" thickBot="1">
      <c r="A12" s="15" t="s">
        <v>60</v>
      </c>
      <c r="B12" s="66">
        <f aca="true" t="shared" si="1" ref="B12:J12">B8*0.01941</f>
        <v>39506001.418800004</v>
      </c>
      <c r="C12" s="66">
        <f t="shared" si="1"/>
        <v>39838456.69461</v>
      </c>
      <c r="D12" s="66">
        <f t="shared" si="1"/>
        <v>40413139.93887</v>
      </c>
      <c r="E12" s="66">
        <f t="shared" si="1"/>
        <v>40410407.01087</v>
      </c>
      <c r="F12" s="31">
        <f t="shared" si="1"/>
        <v>40946624.35176</v>
      </c>
      <c r="G12" s="66">
        <f t="shared" si="1"/>
        <v>41382914.56776</v>
      </c>
      <c r="H12" s="66">
        <f t="shared" si="1"/>
        <v>42242246.85954</v>
      </c>
      <c r="I12" s="66">
        <f t="shared" si="1"/>
        <v>42243686.96508</v>
      </c>
      <c r="J12" s="66">
        <f t="shared" si="1"/>
        <v>41855658.74358</v>
      </c>
      <c r="K12" s="66">
        <f>K8*0.02102</f>
        <v>45299542.77076</v>
      </c>
      <c r="L12" s="66">
        <f>L8*0.02185</f>
        <v>45632419.74655</v>
      </c>
      <c r="M12" s="66">
        <f>M8*0.0185215</f>
        <v>46299125.4592725</v>
      </c>
      <c r="N12" s="66">
        <f>N8*0.0188919</f>
        <v>45688203.8507979</v>
      </c>
      <c r="O12" s="66">
        <f>O8*0.0193264</f>
        <v>46175932.744392</v>
      </c>
      <c r="P12" s="66">
        <f>P8*0.0193264</f>
        <v>46359100.0145872</v>
      </c>
      <c r="Q12" s="66">
        <f>Q8*0.0193264</f>
        <v>46160494.1976272</v>
      </c>
      <c r="R12" s="66">
        <f>R8*0.0198675</f>
        <v>47166490.58679</v>
      </c>
      <c r="S12" s="66">
        <f>S8*0.0198675</f>
        <v>47342194.187265</v>
      </c>
      <c r="T12" s="66">
        <f>T8*0.0201655</f>
        <v>47977792.244329</v>
      </c>
      <c r="U12" s="66">
        <f>U8*0.0201655</f>
        <v>48376969.56709</v>
      </c>
      <c r="V12" s="66">
        <f>V8*0.0201655</f>
        <v>48733009.1547335</v>
      </c>
      <c r="W12" s="40">
        <f>W8*0.0208914</f>
        <v>368855.9887578</v>
      </c>
    </row>
    <row r="13" ht="13.5" thickTop="1">
      <c r="M13" s="9" t="s">
        <v>168</v>
      </c>
    </row>
    <row r="14" spans="1:24" ht="13.5" thickBo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119" t="s">
        <v>169</v>
      </c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</row>
    <row r="15" spans="5:11" ht="14.25" thickBot="1" thickTop="1">
      <c r="E15" s="89"/>
      <c r="J15" s="83"/>
      <c r="K15" s="83"/>
    </row>
    <row r="16" spans="1:21" ht="13.5" thickBot="1">
      <c r="A16" s="23" t="s">
        <v>215</v>
      </c>
      <c r="B16" s="1" t="s">
        <v>54</v>
      </c>
      <c r="C16" s="1" t="s">
        <v>55</v>
      </c>
      <c r="D16" s="1" t="s">
        <v>56</v>
      </c>
      <c r="E16" s="32"/>
      <c r="F16" s="1" t="s">
        <v>54</v>
      </c>
      <c r="G16" s="1" t="s">
        <v>55</v>
      </c>
      <c r="H16" s="1" t="s">
        <v>56</v>
      </c>
      <c r="I16" s="1"/>
      <c r="J16" s="81"/>
      <c r="K16" s="81"/>
      <c r="L16" s="133"/>
      <c r="M16" s="44" t="s">
        <v>54</v>
      </c>
      <c r="N16" s="126" t="s">
        <v>55</v>
      </c>
      <c r="O16" s="126" t="s">
        <v>56</v>
      </c>
      <c r="P16" s="127"/>
      <c r="Q16" s="128" t="s">
        <v>185</v>
      </c>
      <c r="R16" s="127"/>
      <c r="S16" s="127"/>
      <c r="T16" s="129"/>
      <c r="U16" s="34"/>
    </row>
    <row r="17" spans="2:21" ht="13.5" thickBot="1">
      <c r="B17" s="2" t="s">
        <v>47</v>
      </c>
      <c r="C17" s="2" t="s">
        <v>48</v>
      </c>
      <c r="D17" s="2" t="s">
        <v>26</v>
      </c>
      <c r="E17" s="32"/>
      <c r="F17" s="2" t="s">
        <v>47</v>
      </c>
      <c r="G17" s="2" t="s">
        <v>48</v>
      </c>
      <c r="H17" s="2" t="s">
        <v>26</v>
      </c>
      <c r="I17" s="18" t="s">
        <v>124</v>
      </c>
      <c r="J17" s="82"/>
      <c r="K17" s="82"/>
      <c r="L17" s="133"/>
      <c r="M17" s="28" t="s">
        <v>47</v>
      </c>
      <c r="N17" s="2" t="s">
        <v>48</v>
      </c>
      <c r="O17" s="2" t="s">
        <v>26</v>
      </c>
      <c r="Q17" s="122" t="s">
        <v>181</v>
      </c>
      <c r="T17" s="56"/>
      <c r="U17" s="34"/>
    </row>
    <row r="18" spans="1:21" ht="12.75">
      <c r="A18" s="4" t="s">
        <v>81</v>
      </c>
      <c r="B18" s="14">
        <f>V6</f>
        <v>2357933172</v>
      </c>
      <c r="C18" s="14">
        <f>V4</f>
        <v>58719485</v>
      </c>
      <c r="D18" s="3">
        <f>B18+C18</f>
        <v>2416652657</v>
      </c>
      <c r="E18" s="29"/>
      <c r="F18" s="14">
        <f>V6</f>
        <v>2357933172</v>
      </c>
      <c r="G18" s="14">
        <f>V4</f>
        <v>58719485</v>
      </c>
      <c r="H18" s="3">
        <f>F18+G18</f>
        <v>2416652657</v>
      </c>
      <c r="I18" s="3"/>
      <c r="J18" s="3"/>
      <c r="K18" s="3"/>
      <c r="L18" s="133"/>
      <c r="M18" s="91">
        <f>V6</f>
        <v>2357933172</v>
      </c>
      <c r="N18" s="14">
        <f>V4</f>
        <v>58719485</v>
      </c>
      <c r="O18" s="3">
        <f>M18+N18</f>
        <v>2416652657</v>
      </c>
      <c r="Q18" s="25" t="s">
        <v>182</v>
      </c>
      <c r="T18" s="56"/>
      <c r="U18" s="34"/>
    </row>
    <row r="19" spans="1:21" ht="12.75">
      <c r="A19" s="4"/>
      <c r="B19" s="14"/>
      <c r="C19" s="14"/>
      <c r="D19" s="3"/>
      <c r="E19" s="29"/>
      <c r="F19" s="14"/>
      <c r="G19" s="14"/>
      <c r="H19" s="3"/>
      <c r="I19" s="3"/>
      <c r="J19" s="3"/>
      <c r="K19" s="3"/>
      <c r="L19" s="133"/>
      <c r="M19" s="91"/>
      <c r="N19" s="14"/>
      <c r="O19" s="3"/>
      <c r="Q19" s="25" t="s">
        <v>183</v>
      </c>
      <c r="T19" s="56"/>
      <c r="U19" s="34"/>
    </row>
    <row r="20" spans="1:21" ht="12.75">
      <c r="A20" s="25" t="s">
        <v>4</v>
      </c>
      <c r="B20" s="104">
        <v>0</v>
      </c>
      <c r="C20" s="104">
        <v>0</v>
      </c>
      <c r="D20" s="49">
        <f>B20+C20</f>
        <v>0</v>
      </c>
      <c r="E20" s="29"/>
      <c r="F20" s="14"/>
      <c r="G20" s="14"/>
      <c r="H20" s="3"/>
      <c r="I20" s="3"/>
      <c r="J20" s="3"/>
      <c r="K20" s="3"/>
      <c r="L20" s="133"/>
      <c r="M20" s="91"/>
      <c r="N20" s="14"/>
      <c r="O20" s="3"/>
      <c r="Q20" s="25" t="s">
        <v>184</v>
      </c>
      <c r="T20" s="56"/>
      <c r="U20" s="34"/>
    </row>
    <row r="21" spans="1:21" ht="12.75">
      <c r="A21" s="4"/>
      <c r="B21" s="14"/>
      <c r="C21" s="14"/>
      <c r="D21" s="3"/>
      <c r="E21" s="29"/>
      <c r="F21" s="14"/>
      <c r="G21" s="14"/>
      <c r="H21" s="3"/>
      <c r="I21" s="3"/>
      <c r="J21" s="3"/>
      <c r="K21" s="3"/>
      <c r="L21" s="133"/>
      <c r="M21" s="91"/>
      <c r="N21" s="14"/>
      <c r="O21" s="3"/>
      <c r="Q21" s="25" t="s">
        <v>187</v>
      </c>
      <c r="T21" s="56"/>
      <c r="U21" s="34"/>
    </row>
    <row r="22" spans="1:21" ht="12.75">
      <c r="A22" s="25" t="s">
        <v>240</v>
      </c>
      <c r="B22" s="80">
        <v>-38000000</v>
      </c>
      <c r="C22" s="80">
        <v>0</v>
      </c>
      <c r="D22" s="105">
        <f>B22+C22</f>
        <v>-38000000</v>
      </c>
      <c r="F22" s="80">
        <v>-38000000</v>
      </c>
      <c r="G22" s="80">
        <v>0</v>
      </c>
      <c r="H22" s="24">
        <f>F22+G22</f>
        <v>-38000000</v>
      </c>
      <c r="I22" s="3"/>
      <c r="J22" s="3"/>
      <c r="K22" s="3"/>
      <c r="L22" s="133"/>
      <c r="M22" s="123">
        <v>0</v>
      </c>
      <c r="N22" s="80">
        <v>0</v>
      </c>
      <c r="O22" s="24">
        <f>M22+N22</f>
        <v>0</v>
      </c>
      <c r="P22" s="120"/>
      <c r="Q22" s="25" t="s">
        <v>186</v>
      </c>
      <c r="T22" s="56"/>
      <c r="U22" s="34"/>
    </row>
    <row r="23" spans="1:21" ht="12.75">
      <c r="A23" s="16"/>
      <c r="B23" s="14"/>
      <c r="C23" s="14"/>
      <c r="D23" s="3"/>
      <c r="E23" s="29"/>
      <c r="F23" s="14"/>
      <c r="G23" s="14"/>
      <c r="H23" s="3"/>
      <c r="I23" s="3"/>
      <c r="J23" s="3"/>
      <c r="K23" s="3"/>
      <c r="L23" s="133"/>
      <c r="M23" s="91"/>
      <c r="N23" s="14"/>
      <c r="O23" s="3"/>
      <c r="P23" s="9"/>
      <c r="T23" s="56"/>
      <c r="U23" s="34"/>
    </row>
    <row r="24" spans="1:21" ht="12.75">
      <c r="A24" s="4" t="s">
        <v>82</v>
      </c>
      <c r="B24" s="14">
        <f>SUM(B18:B22)</f>
        <v>2319933172</v>
      </c>
      <c r="C24" s="14">
        <f>SUM(C18:C22)</f>
        <v>58719485</v>
      </c>
      <c r="D24" s="14">
        <f>SUM(D18:D22)</f>
        <v>2378652657</v>
      </c>
      <c r="E24" s="29"/>
      <c r="F24" s="14">
        <f>SUM(F18:F22)</f>
        <v>2319933172</v>
      </c>
      <c r="G24" s="14">
        <f>SUM(G18:G22)</f>
        <v>58719485</v>
      </c>
      <c r="H24" s="14">
        <f>SUM(H18:H22)</f>
        <v>2378652657</v>
      </c>
      <c r="I24" s="3"/>
      <c r="J24" s="3"/>
      <c r="K24" s="3"/>
      <c r="L24" s="133"/>
      <c r="M24" s="91">
        <f>SUM(M18:M22)</f>
        <v>2357933172</v>
      </c>
      <c r="N24" s="14">
        <f>SUM(N18:N22)</f>
        <v>58719485</v>
      </c>
      <c r="O24" s="14">
        <f>SUM(O18:O22)</f>
        <v>2416652657</v>
      </c>
      <c r="T24" s="56"/>
      <c r="U24" s="34"/>
    </row>
    <row r="25" spans="1:21" ht="12.75">
      <c r="A25" s="4"/>
      <c r="B25" s="14"/>
      <c r="C25" s="14"/>
      <c r="D25" s="3"/>
      <c r="E25" s="29"/>
      <c r="F25" s="14"/>
      <c r="G25" s="14"/>
      <c r="H25" s="3"/>
      <c r="I25" s="100" t="s">
        <v>235</v>
      </c>
      <c r="J25" s="5"/>
      <c r="K25" s="3"/>
      <c r="L25" s="133"/>
      <c r="M25" s="91"/>
      <c r="N25" s="14"/>
      <c r="O25" s="3"/>
      <c r="P25" s="6"/>
      <c r="Q25" s="86" t="s">
        <v>107</v>
      </c>
      <c r="R25" s="6"/>
      <c r="S25" s="34"/>
      <c r="T25" s="56"/>
      <c r="U25" s="34"/>
    </row>
    <row r="26" spans="1:21" ht="12.75">
      <c r="A26" s="17" t="s">
        <v>228</v>
      </c>
      <c r="B26" s="116" t="s">
        <v>216</v>
      </c>
      <c r="C26" s="116" t="s">
        <v>216</v>
      </c>
      <c r="D26" s="116" t="s">
        <v>216</v>
      </c>
      <c r="E26" s="90"/>
      <c r="F26" s="116" t="s">
        <v>234</v>
      </c>
      <c r="G26" s="116" t="s">
        <v>234</v>
      </c>
      <c r="H26" s="116" t="s">
        <v>234</v>
      </c>
      <c r="I26" s="85" t="s">
        <v>236</v>
      </c>
      <c r="J26" s="52"/>
      <c r="K26" s="52"/>
      <c r="L26" s="133"/>
      <c r="M26" s="124" t="s">
        <v>177</v>
      </c>
      <c r="N26" s="116" t="s">
        <v>177</v>
      </c>
      <c r="O26" s="116" t="s">
        <v>177</v>
      </c>
      <c r="P26" s="85" t="s">
        <v>176</v>
      </c>
      <c r="Q26" s="52"/>
      <c r="T26" s="56"/>
      <c r="U26" s="34"/>
    </row>
    <row r="27" spans="1:21" ht="12.75">
      <c r="A27" s="4"/>
      <c r="B27" s="14"/>
      <c r="C27" s="14"/>
      <c r="D27" s="3"/>
      <c r="E27" s="29"/>
      <c r="F27" s="14"/>
      <c r="G27" s="14"/>
      <c r="H27" s="3"/>
      <c r="I27" s="3"/>
      <c r="J27" s="3"/>
      <c r="K27" s="3"/>
      <c r="L27" s="133"/>
      <c r="M27" s="91"/>
      <c r="N27" s="14"/>
      <c r="O27" s="3"/>
      <c r="T27" s="56"/>
      <c r="U27" s="34"/>
    </row>
    <row r="28" spans="1:21" ht="13.5" thickBot="1">
      <c r="A28" s="4" t="s">
        <v>58</v>
      </c>
      <c r="B28" s="3">
        <f>B24*0.0208914</f>
        <v>48466651.869520806</v>
      </c>
      <c r="C28" s="3">
        <f>C24*0.0208914</f>
        <v>1226732.248929</v>
      </c>
      <c r="D28" s="3">
        <f>D24*0.0208914</f>
        <v>49693384.1184498</v>
      </c>
      <c r="E28" s="29"/>
      <c r="F28" s="3">
        <f>F24*0.0217479</f>
        <v>50453674.631338805</v>
      </c>
      <c r="G28" s="3">
        <f>G24*0.0217479</f>
        <v>1277025.4878315001</v>
      </c>
      <c r="H28" s="3">
        <f>H24*0.0217479</f>
        <v>51730700.1191703</v>
      </c>
      <c r="I28" s="3"/>
      <c r="J28" s="3"/>
      <c r="K28" s="3"/>
      <c r="L28" s="133"/>
      <c r="M28" s="29">
        <f>M24*0.0197683</f>
        <v>46612330.324047595</v>
      </c>
      <c r="N28" s="3">
        <f>N24*0.0197683</f>
        <v>1160784.3953255</v>
      </c>
      <c r="O28" s="49">
        <f>O24*0.0197683</f>
        <v>47773114.7193731</v>
      </c>
      <c r="P28" s="21">
        <v>46544924.58</v>
      </c>
      <c r="Q28" s="9" t="s">
        <v>129</v>
      </c>
      <c r="T28" s="56"/>
      <c r="U28" s="34"/>
    </row>
    <row r="29" spans="4:21" ht="13.5" thickTop="1">
      <c r="D29" s="3"/>
      <c r="E29" s="29"/>
      <c r="H29" s="3"/>
      <c r="I29" s="3"/>
      <c r="J29" s="3"/>
      <c r="K29" s="3"/>
      <c r="L29" s="133"/>
      <c r="M29" s="35"/>
      <c r="O29" s="3"/>
      <c r="T29" s="56"/>
      <c r="U29" s="34"/>
    </row>
    <row r="30" spans="1:21" ht="12.75">
      <c r="A30" s="4" t="s">
        <v>51</v>
      </c>
      <c r="B30" s="5">
        <f>B28*0.02</f>
        <v>969333.0373904161</v>
      </c>
      <c r="C30" s="5">
        <f>C28*0.02</f>
        <v>24534.64497858</v>
      </c>
      <c r="D30" s="5">
        <f>D28*0.02</f>
        <v>993867.682368996</v>
      </c>
      <c r="E30" s="29"/>
      <c r="F30" s="5">
        <f>F28*0.02</f>
        <v>1009073.4926267761</v>
      </c>
      <c r="G30" s="5">
        <f>G28*0.02</f>
        <v>25540.509756630003</v>
      </c>
      <c r="H30" s="5">
        <f>H28*0.02</f>
        <v>1034614.002383406</v>
      </c>
      <c r="I30" s="8"/>
      <c r="J30" s="8"/>
      <c r="K30" s="8"/>
      <c r="L30" s="133"/>
      <c r="M30" s="30">
        <f>M28*0.02</f>
        <v>932246.6064809519</v>
      </c>
      <c r="N30" s="5">
        <f>N28*0.02</f>
        <v>23215.68790651</v>
      </c>
      <c r="O30" s="5">
        <f>O28*0.02</f>
        <v>955462.294387462</v>
      </c>
      <c r="P30" s="19" t="s">
        <v>248</v>
      </c>
      <c r="T30" s="56"/>
      <c r="U30" s="34"/>
    </row>
    <row r="31" spans="5:21" ht="12.75">
      <c r="E31" s="35"/>
      <c r="L31" s="133"/>
      <c r="M31" s="35"/>
      <c r="T31" s="56"/>
      <c r="U31" s="34"/>
    </row>
    <row r="32" spans="1:21" ht="12.75">
      <c r="A32" s="4" t="s">
        <v>59</v>
      </c>
      <c r="B32" s="14">
        <f>B28-B30</f>
        <v>47497318.83213039</v>
      </c>
      <c r="C32" s="14">
        <f>C28-C30</f>
        <v>1202197.60395042</v>
      </c>
      <c r="D32" s="14">
        <f>D28-D30</f>
        <v>48699516.436080806</v>
      </c>
      <c r="E32" s="91"/>
      <c r="F32" s="14">
        <f>F28-F30</f>
        <v>49444601.138712026</v>
      </c>
      <c r="G32" s="14">
        <f>G28-G30</f>
        <v>1251484.97807487</v>
      </c>
      <c r="H32" s="14">
        <f>H28-H30</f>
        <v>50696086.1167869</v>
      </c>
      <c r="I32" s="14"/>
      <c r="J32" s="14"/>
      <c r="K32" s="14"/>
      <c r="L32" s="133"/>
      <c r="M32" s="91">
        <f>M28-M30</f>
        <v>45680083.71756665</v>
      </c>
      <c r="N32" s="14">
        <f>N28-N30</f>
        <v>1137568.70741899</v>
      </c>
      <c r="O32" s="14">
        <f>O28-O30</f>
        <v>46817652.42498564</v>
      </c>
      <c r="T32" s="56"/>
      <c r="U32" s="34"/>
    </row>
    <row r="33" spans="5:21" ht="12.75">
      <c r="E33" s="35"/>
      <c r="L33" s="133"/>
      <c r="M33" s="35"/>
      <c r="T33" s="56"/>
      <c r="U33" s="34"/>
    </row>
    <row r="34" spans="1:21" ht="12.75">
      <c r="A34" s="17" t="s">
        <v>223</v>
      </c>
      <c r="B34" s="115" t="s">
        <v>224</v>
      </c>
      <c r="C34" s="115" t="s">
        <v>224</v>
      </c>
      <c r="D34" s="115" t="s">
        <v>224</v>
      </c>
      <c r="E34" s="92"/>
      <c r="F34" s="115" t="s">
        <v>224</v>
      </c>
      <c r="G34" s="115" t="s">
        <v>224</v>
      </c>
      <c r="H34" s="115" t="s">
        <v>224</v>
      </c>
      <c r="I34" s="53"/>
      <c r="J34" s="53"/>
      <c r="K34" s="53"/>
      <c r="L34" s="133"/>
      <c r="M34" s="125" t="s">
        <v>128</v>
      </c>
      <c r="N34" s="115" t="s">
        <v>128</v>
      </c>
      <c r="O34" s="115" t="s">
        <v>128</v>
      </c>
      <c r="P34" s="69" t="s">
        <v>249</v>
      </c>
      <c r="T34" s="56"/>
      <c r="U34" s="34"/>
    </row>
    <row r="35" spans="5:21" ht="12.75">
      <c r="E35" s="35"/>
      <c r="L35" s="133"/>
      <c r="M35" s="35"/>
      <c r="T35" s="56"/>
      <c r="U35" s="34"/>
    </row>
    <row r="36" spans="1:21" ht="12.75">
      <c r="A36" s="17" t="s">
        <v>229</v>
      </c>
      <c r="B36" s="54">
        <f>B32*0.985</f>
        <v>46784859.049648434</v>
      </c>
      <c r="C36" s="54">
        <f>C32*0.985</f>
        <v>1184164.6398911637</v>
      </c>
      <c r="D36" s="54">
        <f>D32*0.985</f>
        <v>47969023.6895396</v>
      </c>
      <c r="E36" s="93"/>
      <c r="F36" s="54">
        <f>F32*0.985</f>
        <v>48702932.12163135</v>
      </c>
      <c r="G36" s="54">
        <f>G32*0.985</f>
        <v>1232712.703403747</v>
      </c>
      <c r="H36" s="54">
        <f>H32*0.985</f>
        <v>49935644.825035095</v>
      </c>
      <c r="I36" s="20"/>
      <c r="J36" s="20"/>
      <c r="K36" s="20"/>
      <c r="L36" s="133"/>
      <c r="M36" s="94">
        <f>M32*0.977</f>
        <v>44629441.79206261</v>
      </c>
      <c r="N36" s="54">
        <f>N32*0.977</f>
        <v>1111404.6271483533</v>
      </c>
      <c r="O36" s="54">
        <f>O32*0.977</f>
        <v>45740846.41921097</v>
      </c>
      <c r="T36" s="56"/>
      <c r="U36" s="34"/>
    </row>
    <row r="37" spans="1:21" ht="12.75">
      <c r="A37" s="10"/>
      <c r="B37" s="20"/>
      <c r="C37" s="20"/>
      <c r="D37" s="20"/>
      <c r="E37" s="93"/>
      <c r="F37" s="20"/>
      <c r="G37" s="20"/>
      <c r="H37" s="20"/>
      <c r="I37" s="20"/>
      <c r="J37" s="77" t="s">
        <v>76</v>
      </c>
      <c r="K37" s="77"/>
      <c r="L37" s="133"/>
      <c r="M37" s="93"/>
      <c r="N37" s="20"/>
      <c r="O37" s="20"/>
      <c r="Q37" s="77" t="s">
        <v>178</v>
      </c>
      <c r="T37" s="56"/>
      <c r="U37" s="34"/>
    </row>
    <row r="38" spans="1:21" ht="12.75">
      <c r="A38" s="70" t="s">
        <v>230</v>
      </c>
      <c r="B38" s="71">
        <v>1722685.5</v>
      </c>
      <c r="C38" s="71">
        <v>117712.2</v>
      </c>
      <c r="D38" s="71">
        <f>B38+C38</f>
        <v>1840397.7</v>
      </c>
      <c r="E38" s="136"/>
      <c r="F38" s="71">
        <v>1722685.5</v>
      </c>
      <c r="G38" s="71">
        <v>117712.2</v>
      </c>
      <c r="H38" s="71">
        <f>F38+G38</f>
        <v>1840397.7</v>
      </c>
      <c r="I38" s="77"/>
      <c r="J38" s="77" t="s">
        <v>237</v>
      </c>
      <c r="K38" s="77"/>
      <c r="L38" s="133"/>
      <c r="M38" s="132">
        <v>1364417.41</v>
      </c>
      <c r="N38" s="71">
        <v>94460.91</v>
      </c>
      <c r="O38" s="71">
        <f>M38+N38</f>
        <v>1458878.3199999998</v>
      </c>
      <c r="Q38" s="77" t="s">
        <v>180</v>
      </c>
      <c r="T38" s="56"/>
      <c r="U38" s="34"/>
    </row>
    <row r="39" spans="1:21" ht="12.75">
      <c r="A39" s="70"/>
      <c r="B39" s="20"/>
      <c r="C39" s="20"/>
      <c r="D39" s="20"/>
      <c r="E39" s="136"/>
      <c r="F39" s="20"/>
      <c r="G39" s="20"/>
      <c r="H39" s="20"/>
      <c r="I39" s="77"/>
      <c r="J39" s="87" t="s">
        <v>30</v>
      </c>
      <c r="K39" s="77"/>
      <c r="L39" s="133"/>
      <c r="M39" s="93"/>
      <c r="N39" s="20"/>
      <c r="O39" s="20"/>
      <c r="Q39" s="87" t="s">
        <v>179</v>
      </c>
      <c r="T39" s="56"/>
      <c r="U39" s="34"/>
    </row>
    <row r="40" spans="1:21" ht="13.5" thickBot="1">
      <c r="A40" s="1" t="s">
        <v>71</v>
      </c>
      <c r="B40" s="41">
        <f>B36-B38</f>
        <v>45062173.549648434</v>
      </c>
      <c r="C40" s="41">
        <f>C36-C38</f>
        <v>1066452.4398911637</v>
      </c>
      <c r="D40" s="41">
        <f>D36-D38</f>
        <v>46128625.98953959</v>
      </c>
      <c r="E40" s="93"/>
      <c r="F40" s="41">
        <f>F36-F38</f>
        <v>46980246.62163135</v>
      </c>
      <c r="G40" s="41">
        <f>G36-G38</f>
        <v>1115000.503403747</v>
      </c>
      <c r="H40" s="41">
        <f>H36-H38</f>
        <v>48095247.12503509</v>
      </c>
      <c r="I40" s="20"/>
      <c r="J40" s="41">
        <f>H40-D40</f>
        <v>1966621.1354954988</v>
      </c>
      <c r="K40" s="20"/>
      <c r="L40" s="133"/>
      <c r="M40" s="114">
        <f>M36-M38</f>
        <v>43265024.382062614</v>
      </c>
      <c r="N40" s="41">
        <f>N36-N38</f>
        <v>1016943.7171483532</v>
      </c>
      <c r="O40" s="41">
        <f>O36-O38</f>
        <v>44281968.09921097</v>
      </c>
      <c r="Q40" s="41">
        <f>O40-D40</f>
        <v>-1846657.8903286234</v>
      </c>
      <c r="T40" s="56"/>
      <c r="U40" s="34"/>
    </row>
    <row r="41" spans="1:21" ht="13.5" thickTop="1">
      <c r="A41" s="10"/>
      <c r="B41" s="20"/>
      <c r="C41" s="20"/>
      <c r="D41" s="20"/>
      <c r="E41" s="93"/>
      <c r="F41" s="20"/>
      <c r="G41" s="20"/>
      <c r="H41" s="20"/>
      <c r="I41" s="20"/>
      <c r="J41" s="77" t="s">
        <v>73</v>
      </c>
      <c r="K41" s="77"/>
      <c r="L41" s="133"/>
      <c r="M41" s="93"/>
      <c r="N41" s="20"/>
      <c r="O41" s="20"/>
      <c r="T41" s="56"/>
      <c r="U41" s="34"/>
    </row>
    <row r="42" spans="1:21" ht="13.5" thickBot="1">
      <c r="A42" s="17" t="s">
        <v>231</v>
      </c>
      <c r="B42" s="42">
        <f>B32-B36</f>
        <v>712459.7824819535</v>
      </c>
      <c r="C42" s="42">
        <f>C32-C36</f>
        <v>18032.96405925625</v>
      </c>
      <c r="D42" s="42">
        <f>D32-D36</f>
        <v>730492.7465412095</v>
      </c>
      <c r="E42" s="94"/>
      <c r="F42" s="42">
        <f>F32-F36</f>
        <v>741669.0170806795</v>
      </c>
      <c r="G42" s="42">
        <f>G32-G36</f>
        <v>18772.27467112313</v>
      </c>
      <c r="H42" s="42">
        <f>H32-H36</f>
        <v>760441.291751802</v>
      </c>
      <c r="I42" s="79" t="s">
        <v>217</v>
      </c>
      <c r="J42" s="80">
        <v>0</v>
      </c>
      <c r="K42" s="20" t="s">
        <v>1</v>
      </c>
      <c r="L42" s="133"/>
      <c r="M42" s="50">
        <f>M32-M36</f>
        <v>1050641.9255040362</v>
      </c>
      <c r="N42" s="42">
        <f>N32-N36</f>
        <v>26164.080270636827</v>
      </c>
      <c r="O42" s="42">
        <f>O32-O36</f>
        <v>1076806.0057746693</v>
      </c>
      <c r="T42" s="56"/>
      <c r="U42" s="34"/>
    </row>
    <row r="43" spans="5:21" ht="14.25" thickBot="1" thickTop="1">
      <c r="E43" s="35"/>
      <c r="L43" s="133"/>
      <c r="M43" s="130"/>
      <c r="N43" s="78"/>
      <c r="O43" s="78"/>
      <c r="P43" s="78"/>
      <c r="Q43" s="78"/>
      <c r="R43" s="78"/>
      <c r="S43" s="78"/>
      <c r="T43" s="131"/>
      <c r="U43" s="34"/>
    </row>
    <row r="44" spans="1:12" ht="13.5" thickBot="1">
      <c r="A44" s="10" t="s">
        <v>232</v>
      </c>
      <c r="B44" s="41">
        <f>D24*0.001</f>
        <v>2378652.657</v>
      </c>
      <c r="E44" s="35"/>
      <c r="F44" s="41">
        <f>H24*0.001</f>
        <v>2378652.657</v>
      </c>
      <c r="I44" s="45" t="s">
        <v>238</v>
      </c>
      <c r="J44" s="41">
        <f>J40+J42</f>
        <v>1966621.1354954988</v>
      </c>
      <c r="K44" s="20"/>
      <c r="L44" s="133"/>
    </row>
    <row r="45" ht="13.5" thickTop="1">
      <c r="E45" s="35"/>
    </row>
    <row r="46" spans="1:6" ht="13.5" thickBot="1">
      <c r="A46" s="10" t="s">
        <v>233</v>
      </c>
      <c r="B46" s="41">
        <f>((D24*0.001)*0.98)*0.985</f>
        <v>2296113.4098021</v>
      </c>
      <c r="E46" s="35"/>
      <c r="F46" s="41">
        <f>((H24*0.001)*0.98)*0.985</f>
        <v>2296113.4098021</v>
      </c>
    </row>
    <row r="47" spans="1:23" ht="13.5" thickTop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53" spans="6:18" ht="12.75">
      <c r="F53" s="1" t="s">
        <v>54</v>
      </c>
      <c r="G53" s="1" t="s">
        <v>55</v>
      </c>
      <c r="H53" s="1" t="s">
        <v>56</v>
      </c>
      <c r="I53" s="1"/>
      <c r="J53" s="81"/>
      <c r="K53" s="81"/>
      <c r="L53" s="133"/>
      <c r="M53" s="1" t="s">
        <v>54</v>
      </c>
      <c r="N53" s="1" t="s">
        <v>55</v>
      </c>
      <c r="O53" s="1" t="s">
        <v>56</v>
      </c>
      <c r="P53" s="1"/>
      <c r="Q53" s="81"/>
      <c r="R53" s="81"/>
    </row>
    <row r="54" spans="6:18" ht="13.5" thickBot="1">
      <c r="F54" s="2" t="s">
        <v>47</v>
      </c>
      <c r="G54" s="2" t="s">
        <v>48</v>
      </c>
      <c r="H54" s="2" t="s">
        <v>26</v>
      </c>
      <c r="I54" s="18"/>
      <c r="J54" s="82"/>
      <c r="K54" s="82"/>
      <c r="L54" s="133"/>
      <c r="M54" s="2" t="s">
        <v>47</v>
      </c>
      <c r="N54" s="2" t="s">
        <v>48</v>
      </c>
      <c r="O54" s="2" t="s">
        <v>26</v>
      </c>
      <c r="P54" s="18"/>
      <c r="Q54" s="82"/>
      <c r="R54" s="82"/>
    </row>
    <row r="55" spans="1:18" ht="12.75">
      <c r="A55" s="4" t="s">
        <v>81</v>
      </c>
      <c r="F55" s="14">
        <f>V6</f>
        <v>2357933172</v>
      </c>
      <c r="G55" s="14">
        <f>V4</f>
        <v>58719485</v>
      </c>
      <c r="H55" s="3">
        <f>F55+G55</f>
        <v>2416652657</v>
      </c>
      <c r="I55" s="3"/>
      <c r="J55" s="3"/>
      <c r="K55" s="3"/>
      <c r="L55" s="133"/>
      <c r="M55" s="14">
        <f>V6</f>
        <v>2357933172</v>
      </c>
      <c r="N55" s="14">
        <f>V4</f>
        <v>58719485</v>
      </c>
      <c r="O55" s="3">
        <f>M55+N55</f>
        <v>2416652657</v>
      </c>
      <c r="P55" s="3"/>
      <c r="Q55" s="3"/>
      <c r="R55" s="3"/>
    </row>
    <row r="56" spans="1:18" ht="12.75">
      <c r="A56" s="4"/>
      <c r="F56" s="14"/>
      <c r="G56" s="14"/>
      <c r="H56" s="3"/>
      <c r="I56" s="3"/>
      <c r="J56" s="3"/>
      <c r="K56" s="3"/>
      <c r="L56" s="133"/>
      <c r="M56" s="14"/>
      <c r="N56" s="14"/>
      <c r="O56" s="3"/>
      <c r="P56" s="3"/>
      <c r="Q56" s="3"/>
      <c r="R56" s="3"/>
    </row>
    <row r="57" spans="1:18" ht="12.75">
      <c r="A57" s="25" t="s">
        <v>4</v>
      </c>
      <c r="F57" s="14"/>
      <c r="G57" s="14"/>
      <c r="H57" s="3"/>
      <c r="I57" s="3"/>
      <c r="J57" s="3"/>
      <c r="K57" s="3"/>
      <c r="L57" s="133"/>
      <c r="M57" s="14"/>
      <c r="N57" s="14"/>
      <c r="O57" s="3"/>
      <c r="P57" s="3"/>
      <c r="Q57" s="3"/>
      <c r="R57" s="3"/>
    </row>
    <row r="58" spans="1:18" ht="12.75">
      <c r="A58" s="4"/>
      <c r="F58" s="14"/>
      <c r="G58" s="14"/>
      <c r="H58" s="3"/>
      <c r="I58" s="3"/>
      <c r="J58" s="3"/>
      <c r="K58" s="3"/>
      <c r="L58" s="133"/>
      <c r="M58" s="14"/>
      <c r="N58" s="14"/>
      <c r="O58" s="3"/>
      <c r="P58" s="3"/>
      <c r="Q58" s="3"/>
      <c r="R58" s="3"/>
    </row>
    <row r="59" spans="1:18" ht="12.75">
      <c r="A59" s="25" t="s">
        <v>5</v>
      </c>
      <c r="F59" s="80">
        <v>0</v>
      </c>
      <c r="G59" s="80">
        <v>0</v>
      </c>
      <c r="H59" s="24">
        <f>F59+G59</f>
        <v>0</v>
      </c>
      <c r="I59" s="3"/>
      <c r="J59" s="3"/>
      <c r="K59" s="3"/>
      <c r="L59" s="133"/>
      <c r="M59" s="80">
        <v>0</v>
      </c>
      <c r="N59" s="80">
        <v>0</v>
      </c>
      <c r="O59" s="24">
        <f>M59+N59</f>
        <v>0</v>
      </c>
      <c r="P59" s="3"/>
      <c r="Q59" s="3"/>
      <c r="R59" s="3"/>
    </row>
    <row r="60" spans="1:18" ht="12.75">
      <c r="A60" s="16"/>
      <c r="F60" s="14"/>
      <c r="G60" s="14"/>
      <c r="H60" s="3"/>
      <c r="I60" s="3"/>
      <c r="J60" s="3"/>
      <c r="K60" s="3"/>
      <c r="L60" s="133"/>
      <c r="M60" s="14"/>
      <c r="N60" s="14"/>
      <c r="O60" s="3"/>
      <c r="P60" s="3"/>
      <c r="Q60" s="3"/>
      <c r="R60" s="3"/>
    </row>
    <row r="61" spans="1:18" ht="12.75">
      <c r="A61" s="4" t="s">
        <v>82</v>
      </c>
      <c r="F61" s="14">
        <f>SUM(F55:F59)</f>
        <v>2357933172</v>
      </c>
      <c r="G61" s="14">
        <f>SUM(G55:G59)</f>
        <v>58719485</v>
      </c>
      <c r="H61" s="14">
        <f>SUM(H55:H59)</f>
        <v>2416652657</v>
      </c>
      <c r="I61" s="3"/>
      <c r="J61" s="3"/>
      <c r="K61" s="3"/>
      <c r="L61" s="133"/>
      <c r="M61" s="14">
        <f>SUM(M55:M59)</f>
        <v>2357933172</v>
      </c>
      <c r="N61" s="14">
        <f>SUM(N55:N59)</f>
        <v>58719485</v>
      </c>
      <c r="O61" s="14">
        <f>SUM(O55:O59)</f>
        <v>2416652657</v>
      </c>
      <c r="P61" s="3"/>
      <c r="Q61" s="3"/>
      <c r="R61" s="3"/>
    </row>
    <row r="62" spans="1:18" ht="12.75">
      <c r="A62" s="4"/>
      <c r="F62" s="14"/>
      <c r="G62" s="14"/>
      <c r="H62" s="3"/>
      <c r="I62" s="100" t="s">
        <v>200</v>
      </c>
      <c r="J62" s="5"/>
      <c r="K62" s="134"/>
      <c r="L62" s="133"/>
      <c r="M62" s="14"/>
      <c r="N62" s="14"/>
      <c r="O62" s="3"/>
      <c r="P62" s="100" t="s">
        <v>205</v>
      </c>
      <c r="Q62" s="5"/>
      <c r="R62" s="5"/>
    </row>
    <row r="63" spans="1:18" ht="12.75">
      <c r="A63" s="17" t="s">
        <v>173</v>
      </c>
      <c r="F63" s="116" t="s">
        <v>202</v>
      </c>
      <c r="G63" s="116" t="s">
        <v>202</v>
      </c>
      <c r="H63" s="116" t="s">
        <v>202</v>
      </c>
      <c r="I63" s="85" t="s">
        <v>201</v>
      </c>
      <c r="J63" s="52"/>
      <c r="K63" s="52"/>
      <c r="L63" s="133"/>
      <c r="M63" s="116" t="s">
        <v>209</v>
      </c>
      <c r="N63" s="116" t="s">
        <v>209</v>
      </c>
      <c r="O63" s="116" t="s">
        <v>209</v>
      </c>
      <c r="P63" s="85" t="s">
        <v>206</v>
      </c>
      <c r="Q63" s="52"/>
      <c r="R63" s="52"/>
    </row>
    <row r="64" spans="1:18" ht="12.75">
      <c r="A64" s="4"/>
      <c r="F64" s="14"/>
      <c r="G64" s="14"/>
      <c r="H64" s="3"/>
      <c r="I64" s="3"/>
      <c r="J64" s="3"/>
      <c r="K64" s="3"/>
      <c r="L64" s="133"/>
      <c r="M64" s="14"/>
      <c r="N64" s="14"/>
      <c r="O64" s="3"/>
      <c r="P64" s="3"/>
      <c r="Q64" s="3"/>
      <c r="R64" s="3"/>
    </row>
    <row r="65" spans="1:18" ht="12.75">
      <c r="A65" s="4" t="s">
        <v>58</v>
      </c>
      <c r="F65" s="3">
        <f>F61*0.0201655</f>
        <v>47548901.379966</v>
      </c>
      <c r="G65" s="3">
        <f>G61*0.0201655</f>
        <v>1184107.7747674999</v>
      </c>
      <c r="H65" s="3">
        <f>H61*0.0201655</f>
        <v>48733009.1547335</v>
      </c>
      <c r="I65" s="3"/>
      <c r="J65" s="3"/>
      <c r="K65" s="3"/>
      <c r="L65" s="133"/>
      <c r="M65" s="3">
        <f>M61*0.0200662</f>
        <v>47314758.6159864</v>
      </c>
      <c r="N65" s="3">
        <f>N61*0.0200662</f>
        <v>1178276.929907</v>
      </c>
      <c r="O65" s="3">
        <f>O61*0.0200662</f>
        <v>48493035.5458934</v>
      </c>
      <c r="P65" s="3"/>
      <c r="Q65" s="3"/>
      <c r="R65" s="3"/>
    </row>
    <row r="66" spans="8:18" ht="12.75">
      <c r="H66" s="3"/>
      <c r="I66" s="3"/>
      <c r="J66" s="3"/>
      <c r="K66" s="3"/>
      <c r="L66" s="133"/>
      <c r="O66" s="3"/>
      <c r="P66" s="3"/>
      <c r="Q66" s="3"/>
      <c r="R66" s="3"/>
    </row>
    <row r="67" spans="1:18" ht="12.75">
      <c r="A67" s="4" t="s">
        <v>51</v>
      </c>
      <c r="F67" s="5">
        <f>F65*0.02</f>
        <v>950978.0275993199</v>
      </c>
      <c r="G67" s="5">
        <f>G65*0.02</f>
        <v>23682.155495349998</v>
      </c>
      <c r="H67" s="5">
        <f>H65*0.02</f>
        <v>974660.1830946701</v>
      </c>
      <c r="I67" s="8"/>
      <c r="J67" s="8"/>
      <c r="K67" s="8"/>
      <c r="L67" s="133"/>
      <c r="M67" s="5">
        <f>M65*0.02</f>
        <v>946295.172319728</v>
      </c>
      <c r="N67" s="5">
        <f>N65*0.02</f>
        <v>23565.53859814</v>
      </c>
      <c r="O67" s="5">
        <f>O65*0.02</f>
        <v>969860.7109178681</v>
      </c>
      <c r="P67" s="8"/>
      <c r="Q67" s="8"/>
      <c r="R67" s="8"/>
    </row>
    <row r="68" ht="12.75">
      <c r="L68" s="133"/>
    </row>
    <row r="69" spans="1:18" ht="12.75">
      <c r="A69" s="4" t="s">
        <v>59</v>
      </c>
      <c r="F69" s="14">
        <f>F65-F67</f>
        <v>46597923.35236668</v>
      </c>
      <c r="G69" s="14">
        <f>G65-G67</f>
        <v>1160425.6192721499</v>
      </c>
      <c r="H69" s="14">
        <f>H65-H67</f>
        <v>47758348.97163883</v>
      </c>
      <c r="I69" s="14"/>
      <c r="J69" s="14"/>
      <c r="K69" s="14"/>
      <c r="L69" s="133"/>
      <c r="M69" s="14">
        <f>M65-M67</f>
        <v>46368463.443666674</v>
      </c>
      <c r="N69" s="14">
        <f>N65-N67</f>
        <v>1154711.39130886</v>
      </c>
      <c r="O69" s="14">
        <f>O65-O67</f>
        <v>47523174.83497553</v>
      </c>
      <c r="P69" s="14"/>
      <c r="Q69" s="14"/>
      <c r="R69" s="14"/>
    </row>
    <row r="70" ht="12.75">
      <c r="L70" s="133"/>
    </row>
    <row r="71" spans="1:18" ht="12.75">
      <c r="A71" s="17" t="s">
        <v>218</v>
      </c>
      <c r="F71" s="115" t="s">
        <v>128</v>
      </c>
      <c r="G71" s="115" t="s">
        <v>128</v>
      </c>
      <c r="H71" s="115" t="s">
        <v>128</v>
      </c>
      <c r="I71" s="53"/>
      <c r="J71" s="53"/>
      <c r="K71" s="53"/>
      <c r="L71" s="133"/>
      <c r="M71" s="115" t="s">
        <v>128</v>
      </c>
      <c r="N71" s="115" t="s">
        <v>128</v>
      </c>
      <c r="O71" s="115" t="s">
        <v>128</v>
      </c>
      <c r="P71" s="53"/>
      <c r="Q71" s="53"/>
      <c r="R71" s="53"/>
    </row>
    <row r="72" ht="12.75">
      <c r="L72" s="133"/>
    </row>
    <row r="73" spans="1:18" ht="12.75">
      <c r="A73" s="17" t="s">
        <v>192</v>
      </c>
      <c r="F73" s="54">
        <f>F69*0.977</f>
        <v>45526171.11526224</v>
      </c>
      <c r="G73" s="54">
        <f>G69*0.977</f>
        <v>1133735.8300288904</v>
      </c>
      <c r="H73" s="54">
        <f>H69*0.977</f>
        <v>46659906.94529113</v>
      </c>
      <c r="I73" s="20"/>
      <c r="J73" s="20"/>
      <c r="K73" s="20"/>
      <c r="L73" s="133"/>
      <c r="M73" s="54">
        <f>M69*0.977</f>
        <v>45301988.78446234</v>
      </c>
      <c r="N73" s="54">
        <f>N69*0.977</f>
        <v>1128153.029308756</v>
      </c>
      <c r="O73" s="54">
        <f>O69*0.977</f>
        <v>46430141.81377109</v>
      </c>
      <c r="P73" s="20"/>
      <c r="Q73" s="20"/>
      <c r="R73" s="20"/>
    </row>
    <row r="74" spans="1:18" ht="12.75">
      <c r="A74" s="10"/>
      <c r="F74" s="20"/>
      <c r="G74" s="20"/>
      <c r="H74" s="20"/>
      <c r="I74" s="20"/>
      <c r="J74" s="77" t="s">
        <v>76</v>
      </c>
      <c r="K74" s="77"/>
      <c r="L74" s="133"/>
      <c r="M74" s="20"/>
      <c r="N74" s="20"/>
      <c r="O74" s="20"/>
      <c r="P74" s="20"/>
      <c r="Q74" s="77" t="s">
        <v>76</v>
      </c>
      <c r="R74" s="77"/>
    </row>
    <row r="75" spans="1:18" ht="12.75">
      <c r="A75" s="70" t="s">
        <v>193</v>
      </c>
      <c r="F75" s="71">
        <v>1366419.93</v>
      </c>
      <c r="G75" s="71">
        <v>93888.36</v>
      </c>
      <c r="H75" s="71">
        <f>F75+G75</f>
        <v>1460308.29</v>
      </c>
      <c r="I75" s="20"/>
      <c r="J75" s="77" t="s">
        <v>203</v>
      </c>
      <c r="K75" s="77"/>
      <c r="L75" s="133"/>
      <c r="M75" s="71">
        <v>1366419.93</v>
      </c>
      <c r="N75" s="71">
        <v>93888.36</v>
      </c>
      <c r="O75" s="71">
        <f>M75+N75</f>
        <v>1460308.29</v>
      </c>
      <c r="P75" s="20"/>
      <c r="Q75" s="77" t="s">
        <v>207</v>
      </c>
      <c r="R75" s="77"/>
    </row>
    <row r="76" spans="1:18" ht="12.75">
      <c r="A76" s="70"/>
      <c r="F76" s="20"/>
      <c r="G76" s="20"/>
      <c r="H76" s="20"/>
      <c r="I76" s="20"/>
      <c r="J76" s="87" t="s">
        <v>30</v>
      </c>
      <c r="K76" s="77"/>
      <c r="L76" s="133"/>
      <c r="M76" s="20"/>
      <c r="N76" s="20"/>
      <c r="O76" s="20"/>
      <c r="P76" s="20"/>
      <c r="Q76" s="87" t="s">
        <v>30</v>
      </c>
      <c r="R76" s="77"/>
    </row>
    <row r="77" spans="1:18" ht="13.5" thickBot="1">
      <c r="A77" s="1" t="s">
        <v>71</v>
      </c>
      <c r="F77" s="41">
        <f>F73-F75</f>
        <v>44159751.18526224</v>
      </c>
      <c r="G77" s="41">
        <f>G73-G75</f>
        <v>1039847.4700288904</v>
      </c>
      <c r="H77" s="41">
        <f>H73-H75</f>
        <v>45199598.65529113</v>
      </c>
      <c r="I77" s="20"/>
      <c r="J77" s="41">
        <f>H77-D40</f>
        <v>-929027.3342484608</v>
      </c>
      <c r="K77" s="20"/>
      <c r="L77" s="133"/>
      <c r="M77" s="41">
        <f>M73-M75</f>
        <v>43935568.85446234</v>
      </c>
      <c r="N77" s="41">
        <f>N73-N75</f>
        <v>1034264.6693087561</v>
      </c>
      <c r="O77" s="41">
        <f>O73-O75</f>
        <v>44969833.52377109</v>
      </c>
      <c r="P77" s="20"/>
      <c r="Q77" s="41">
        <f>O77-D40</f>
        <v>-1158792.4657685012</v>
      </c>
      <c r="R77" s="20"/>
    </row>
    <row r="78" spans="1:18" ht="13.5" thickTop="1">
      <c r="A78" s="10"/>
      <c r="F78" s="20"/>
      <c r="G78" s="20"/>
      <c r="H78" s="20"/>
      <c r="I78" s="20"/>
      <c r="J78" s="77" t="s">
        <v>73</v>
      </c>
      <c r="K78" s="77"/>
      <c r="L78" s="133"/>
      <c r="M78" s="20"/>
      <c r="N78" s="20"/>
      <c r="O78" s="20"/>
      <c r="P78" s="20"/>
      <c r="Q78" s="77" t="s">
        <v>73</v>
      </c>
      <c r="R78" s="77"/>
    </row>
    <row r="79" spans="1:18" ht="13.5" thickBot="1">
      <c r="A79" s="17" t="s">
        <v>194</v>
      </c>
      <c r="F79" s="42">
        <f>F69-F73</f>
        <v>1071752.2371044382</v>
      </c>
      <c r="G79" s="42">
        <f>G69-G73</f>
        <v>26689.789243259467</v>
      </c>
      <c r="H79" s="42">
        <f>H69-H73</f>
        <v>1098442.0263476968</v>
      </c>
      <c r="I79" s="79" t="s">
        <v>6</v>
      </c>
      <c r="J79" s="80">
        <v>0</v>
      </c>
      <c r="K79" s="20" t="s">
        <v>1</v>
      </c>
      <c r="L79" s="133"/>
      <c r="M79" s="42">
        <f>M69-M73</f>
        <v>1066474.659204334</v>
      </c>
      <c r="N79" s="42">
        <f>N69-N73</f>
        <v>26558.362000103807</v>
      </c>
      <c r="O79" s="42">
        <f>O69-O73</f>
        <v>1093033.0212044418</v>
      </c>
      <c r="P79" s="79" t="s">
        <v>6</v>
      </c>
      <c r="Q79" s="80">
        <v>0</v>
      </c>
      <c r="R79" s="20" t="s">
        <v>1</v>
      </c>
    </row>
    <row r="80" ht="13.5" thickTop="1">
      <c r="L80" s="133"/>
    </row>
    <row r="81" spans="1:18" ht="13.5" thickBot="1">
      <c r="A81" s="10" t="s">
        <v>195</v>
      </c>
      <c r="F81" s="41">
        <f>H61*0.001</f>
        <v>2416652.657</v>
      </c>
      <c r="I81" s="45" t="s">
        <v>204</v>
      </c>
      <c r="J81" s="41">
        <f>J77+J79</f>
        <v>-929027.3342484608</v>
      </c>
      <c r="K81" s="20"/>
      <c r="L81" s="133"/>
      <c r="M81" s="41">
        <f>O61*0.001</f>
        <v>2416652.657</v>
      </c>
      <c r="P81" s="45" t="s">
        <v>208</v>
      </c>
      <c r="Q81" s="41">
        <f>Q77+Q79</f>
        <v>-1158792.4657685012</v>
      </c>
      <c r="R81" s="20"/>
    </row>
    <row r="82" ht="13.5" thickTop="1"/>
    <row r="83" spans="1:13" ht="13.5" thickBot="1">
      <c r="A83" s="10" t="s">
        <v>196</v>
      </c>
      <c r="F83" s="41">
        <f>((H61*0.001)*0.98)*0.967</f>
        <v>2290165.0569326202</v>
      </c>
      <c r="M83" s="41">
        <f>((O61*0.001)*0.98)*0.967</f>
        <v>2290165.0569326202</v>
      </c>
    </row>
    <row r="84" ht="13.5" thickTop="1"/>
  </sheetData>
  <sheetProtection/>
  <printOptions gridLines="1"/>
  <pageMargins left="0" right="0" top="1.5" bottom="0.75" header="0.5" footer="0.5"/>
  <pageSetup horizontalDpi="600" verticalDpi="600" orientation="landscape" paperSize="5" scale="68" r:id="rId1"/>
  <headerFooter alignWithMargins="0">
    <oddHeader>&amp;LBUDGET 22-23
SHEET 28&amp;C&amp;"Arial,Bold"&amp;12GATEWAY SCHOOL DISTRICT
GENERAL FUND
TOTAL LOCAL TAXABLE ASSESSED VALUES OF
SCHOOL DISTRICT REAL ESTATE
2022-2023&amp;R6/20/22
PAS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="154" zoomScaleNormal="154" zoomScalePageLayoutView="0" workbookViewId="0" topLeftCell="A1">
      <pane xSplit="2" ySplit="3" topLeftCell="D2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32" sqref="F32"/>
    </sheetView>
  </sheetViews>
  <sheetFormatPr defaultColWidth="9.140625" defaultRowHeight="12.75"/>
  <cols>
    <col min="1" max="1" width="16.8515625" style="0" hidden="1" customWidth="1"/>
    <col min="2" max="2" width="26.8515625" style="0" customWidth="1"/>
    <col min="3" max="3" width="20.8515625" style="0" customWidth="1"/>
    <col min="4" max="4" width="18.57421875" style="0" customWidth="1"/>
    <col min="5" max="5" width="18.140625" style="0" customWidth="1"/>
    <col min="6" max="6" width="26.7109375" style="0" customWidth="1"/>
    <col min="7" max="7" width="23.140625" style="0" customWidth="1"/>
    <col min="8" max="8" width="17.140625" style="0" customWidth="1"/>
    <col min="9" max="9" width="185.421875" style="0" customWidth="1"/>
    <col min="10" max="10" width="15.00390625" style="0" customWidth="1"/>
    <col min="11" max="11" width="14.57421875" style="0" bestFit="1" customWidth="1"/>
    <col min="12" max="12" width="12.421875" style="0" bestFit="1" customWidth="1"/>
  </cols>
  <sheetData>
    <row r="1" spans="1:10" ht="13.5" thickTop="1">
      <c r="A1" s="283"/>
      <c r="B1" s="284"/>
      <c r="C1" s="287" t="s">
        <v>188</v>
      </c>
      <c r="D1" s="287" t="s">
        <v>188</v>
      </c>
      <c r="E1" s="287" t="s">
        <v>116</v>
      </c>
      <c r="F1" s="287" t="s">
        <v>79</v>
      </c>
      <c r="G1" s="287" t="s">
        <v>38</v>
      </c>
      <c r="H1" s="287"/>
      <c r="I1" s="289"/>
      <c r="J1" s="36"/>
    </row>
    <row r="2" spans="1:12" ht="12.75">
      <c r="A2" s="32" t="s">
        <v>19</v>
      </c>
      <c r="B2" s="285" t="s">
        <v>10</v>
      </c>
      <c r="C2" s="285" t="s">
        <v>135</v>
      </c>
      <c r="D2" s="285" t="s">
        <v>135</v>
      </c>
      <c r="E2" s="285" t="s">
        <v>135</v>
      </c>
      <c r="F2" s="285" t="s">
        <v>135</v>
      </c>
      <c r="G2" s="285" t="s">
        <v>272</v>
      </c>
      <c r="H2" s="285" t="s">
        <v>271</v>
      </c>
      <c r="I2" s="290"/>
      <c r="J2" s="18"/>
      <c r="K2" s="15"/>
      <c r="L2" s="15"/>
    </row>
    <row r="3" spans="1:12" ht="13.5" thickBot="1">
      <c r="A3" s="28" t="s">
        <v>37</v>
      </c>
      <c r="B3" s="286" t="s">
        <v>11</v>
      </c>
      <c r="C3" s="288" t="s">
        <v>127</v>
      </c>
      <c r="D3" s="288" t="s">
        <v>124</v>
      </c>
      <c r="E3" s="288" t="s">
        <v>125</v>
      </c>
      <c r="F3" s="288" t="s">
        <v>125</v>
      </c>
      <c r="G3" s="288" t="s">
        <v>40</v>
      </c>
      <c r="H3" s="288" t="s">
        <v>19</v>
      </c>
      <c r="I3" s="291" t="s">
        <v>280</v>
      </c>
      <c r="J3" s="13"/>
      <c r="K3" s="7"/>
      <c r="L3" s="7"/>
    </row>
    <row r="4" spans="1:12" ht="17.25" thickBot="1" thickTop="1">
      <c r="A4" s="271">
        <v>1</v>
      </c>
      <c r="B4" s="272" t="s">
        <v>147</v>
      </c>
      <c r="C4" s="292">
        <v>26000</v>
      </c>
      <c r="D4" s="148">
        <v>30000</v>
      </c>
      <c r="E4" s="255">
        <v>30000</v>
      </c>
      <c r="F4" s="273">
        <v>35000</v>
      </c>
      <c r="G4" s="274">
        <f>SUM(F4-D4)</f>
        <v>5000</v>
      </c>
      <c r="H4" s="259">
        <v>0</v>
      </c>
      <c r="I4" s="280" t="s">
        <v>327</v>
      </c>
      <c r="J4" s="75"/>
      <c r="K4" s="76"/>
      <c r="L4" s="33"/>
    </row>
    <row r="5" spans="1:12" ht="16.5" thickBot="1">
      <c r="A5" s="271">
        <v>2</v>
      </c>
      <c r="B5" s="272" t="s">
        <v>137</v>
      </c>
      <c r="C5" s="293">
        <v>122000</v>
      </c>
      <c r="D5" s="148">
        <v>135000</v>
      </c>
      <c r="E5" s="255">
        <v>201606</v>
      </c>
      <c r="F5" s="274">
        <v>142018</v>
      </c>
      <c r="G5" s="274">
        <f>SUM(F5-D5)</f>
        <v>7018</v>
      </c>
      <c r="H5" s="259">
        <f aca="true" t="shared" si="0" ref="H5:H30">SUM(E5-F5)</f>
        <v>59588</v>
      </c>
      <c r="I5" s="280" t="s">
        <v>326</v>
      </c>
      <c r="J5" s="75"/>
      <c r="K5" s="76"/>
      <c r="L5" s="33"/>
    </row>
    <row r="6" spans="1:12" ht="15.75">
      <c r="A6" s="271">
        <v>3</v>
      </c>
      <c r="B6" s="275" t="s">
        <v>148</v>
      </c>
      <c r="C6" s="293">
        <v>0</v>
      </c>
      <c r="D6" s="75"/>
      <c r="E6" s="75"/>
      <c r="F6" s="257">
        <v>0</v>
      </c>
      <c r="G6" s="270">
        <v>0</v>
      </c>
      <c r="H6" s="259">
        <f t="shared" si="0"/>
        <v>0</v>
      </c>
      <c r="I6" s="279"/>
      <c r="J6" s="75"/>
      <c r="K6" s="76"/>
      <c r="L6" s="33"/>
    </row>
    <row r="7" spans="1:12" ht="16.5" thickBot="1">
      <c r="A7" s="271">
        <v>5</v>
      </c>
      <c r="B7" s="276" t="s">
        <v>269</v>
      </c>
      <c r="C7" s="293">
        <v>34769000</v>
      </c>
      <c r="D7" s="75">
        <v>36734000</v>
      </c>
      <c r="E7" s="75">
        <v>38095680</v>
      </c>
      <c r="F7" s="258">
        <v>38095680</v>
      </c>
      <c r="G7" s="274">
        <f aca="true" t="shared" si="1" ref="G7:G30">SUM(F7-D7)</f>
        <v>1361680</v>
      </c>
      <c r="H7" s="259">
        <f t="shared" si="0"/>
        <v>0</v>
      </c>
      <c r="I7" s="280" t="s">
        <v>357</v>
      </c>
      <c r="J7" s="75"/>
      <c r="K7" s="76"/>
      <c r="L7" s="33"/>
    </row>
    <row r="8" spans="1:12" ht="16.5" thickBot="1">
      <c r="A8" s="271">
        <v>7</v>
      </c>
      <c r="B8" s="275" t="s">
        <v>279</v>
      </c>
      <c r="C8" s="293">
        <v>32976000</v>
      </c>
      <c r="D8" s="148">
        <v>14831000</v>
      </c>
      <c r="E8" s="255">
        <v>14423875</v>
      </c>
      <c r="F8" s="258">
        <v>14423875</v>
      </c>
      <c r="G8" s="274">
        <f t="shared" si="1"/>
        <v>-407125</v>
      </c>
      <c r="H8" s="259">
        <f t="shared" si="0"/>
        <v>0</v>
      </c>
      <c r="I8" s="280" t="s">
        <v>282</v>
      </c>
      <c r="J8" s="75"/>
      <c r="K8" s="76"/>
      <c r="L8" s="33"/>
    </row>
    <row r="9" spans="1:12" ht="16.5" thickBot="1">
      <c r="A9" s="271">
        <v>7</v>
      </c>
      <c r="B9" s="275" t="s">
        <v>281</v>
      </c>
      <c r="C9" s="293"/>
      <c r="D9" s="148">
        <v>22143700</v>
      </c>
      <c r="E9" s="255">
        <v>22828753</v>
      </c>
      <c r="F9" s="258">
        <v>22828753</v>
      </c>
      <c r="G9" s="274">
        <f t="shared" si="1"/>
        <v>685053</v>
      </c>
      <c r="H9" s="259">
        <f t="shared" si="0"/>
        <v>0</v>
      </c>
      <c r="I9" s="280" t="s">
        <v>283</v>
      </c>
      <c r="J9" s="75"/>
      <c r="K9" s="76"/>
      <c r="L9" s="33"/>
    </row>
    <row r="10" spans="1:12" ht="16.5" thickBot="1">
      <c r="A10" s="271">
        <v>8</v>
      </c>
      <c r="B10" s="276" t="s">
        <v>108</v>
      </c>
      <c r="C10" s="293">
        <v>26000</v>
      </c>
      <c r="D10" s="148">
        <v>26000</v>
      </c>
      <c r="E10" s="255">
        <v>30000</v>
      </c>
      <c r="F10" s="258">
        <v>30000</v>
      </c>
      <c r="G10" s="274">
        <f t="shared" si="1"/>
        <v>4000</v>
      </c>
      <c r="H10" s="259">
        <f t="shared" si="0"/>
        <v>0</v>
      </c>
      <c r="I10" s="280" t="s">
        <v>329</v>
      </c>
      <c r="J10" s="75"/>
      <c r="K10" s="76"/>
      <c r="L10" s="33"/>
    </row>
    <row r="11" spans="1:12" ht="16.5" thickBot="1">
      <c r="A11" s="271">
        <v>9</v>
      </c>
      <c r="B11" s="276" t="s">
        <v>266</v>
      </c>
      <c r="C11" s="293">
        <v>34000</v>
      </c>
      <c r="D11" s="148">
        <v>46000</v>
      </c>
      <c r="E11" s="255">
        <v>76857</v>
      </c>
      <c r="F11" s="274">
        <v>82857</v>
      </c>
      <c r="G11" s="274">
        <f t="shared" si="1"/>
        <v>36857</v>
      </c>
      <c r="H11" s="259">
        <f t="shared" si="0"/>
        <v>-6000</v>
      </c>
      <c r="I11" s="280" t="s">
        <v>330</v>
      </c>
      <c r="J11" s="75"/>
      <c r="K11" s="76"/>
      <c r="L11" s="33"/>
    </row>
    <row r="12" spans="1:12" ht="16.5" thickBot="1">
      <c r="A12" s="271">
        <v>10</v>
      </c>
      <c r="B12" s="272" t="s">
        <v>9</v>
      </c>
      <c r="C12" s="294">
        <v>0</v>
      </c>
      <c r="D12" s="113"/>
      <c r="E12" s="113"/>
      <c r="F12" s="257">
        <v>0</v>
      </c>
      <c r="G12" s="274">
        <f t="shared" si="1"/>
        <v>0</v>
      </c>
      <c r="H12" s="259">
        <f t="shared" si="0"/>
        <v>0</v>
      </c>
      <c r="I12" s="280"/>
      <c r="J12" s="113"/>
      <c r="K12" s="76"/>
      <c r="L12" s="33"/>
    </row>
    <row r="13" spans="1:12" ht="16.5" thickBot="1">
      <c r="A13" s="271">
        <v>11</v>
      </c>
      <c r="B13" s="276" t="s">
        <v>109</v>
      </c>
      <c r="C13" s="293">
        <v>29000</v>
      </c>
      <c r="D13" s="148">
        <v>39000</v>
      </c>
      <c r="E13" s="255">
        <v>82253</v>
      </c>
      <c r="F13" s="274">
        <v>75546</v>
      </c>
      <c r="G13" s="274">
        <f t="shared" si="1"/>
        <v>36546</v>
      </c>
      <c r="H13" s="259">
        <f t="shared" si="0"/>
        <v>6707</v>
      </c>
      <c r="I13" s="280" t="s">
        <v>330</v>
      </c>
      <c r="J13" s="75"/>
      <c r="K13" s="76"/>
      <c r="L13" s="33"/>
    </row>
    <row r="14" spans="1:12" ht="16.5" thickBot="1">
      <c r="A14" s="271">
        <v>12</v>
      </c>
      <c r="B14" s="276" t="s">
        <v>213</v>
      </c>
      <c r="C14" s="293">
        <v>35000</v>
      </c>
      <c r="D14" s="75"/>
      <c r="E14" s="75"/>
      <c r="F14" s="257">
        <v>0</v>
      </c>
      <c r="G14" s="274">
        <f t="shared" si="1"/>
        <v>0</v>
      </c>
      <c r="H14" s="259">
        <f t="shared" si="0"/>
        <v>0</v>
      </c>
      <c r="I14" s="280"/>
      <c r="J14" s="75"/>
      <c r="K14" s="76"/>
      <c r="L14" s="33"/>
    </row>
    <row r="15" spans="1:12" ht="16.5" thickBot="1">
      <c r="A15" s="27">
        <v>14</v>
      </c>
      <c r="B15" s="276" t="s">
        <v>267</v>
      </c>
      <c r="C15" s="293">
        <v>54000</v>
      </c>
      <c r="D15" s="148">
        <v>29000</v>
      </c>
      <c r="E15" s="255">
        <v>76237.25</v>
      </c>
      <c r="F15" s="277">
        <v>76702</v>
      </c>
      <c r="G15" s="274">
        <f t="shared" si="1"/>
        <v>47702</v>
      </c>
      <c r="H15" s="259">
        <f t="shared" si="0"/>
        <v>-464.75</v>
      </c>
      <c r="I15" s="280" t="s">
        <v>358</v>
      </c>
      <c r="J15" s="75"/>
      <c r="K15" s="76"/>
      <c r="L15" s="33"/>
    </row>
    <row r="16" spans="1:12" ht="16.5" thickBot="1">
      <c r="A16" s="27">
        <v>15</v>
      </c>
      <c r="B16" s="272" t="s">
        <v>136</v>
      </c>
      <c r="C16" s="293">
        <v>44000</v>
      </c>
      <c r="D16" s="148">
        <v>52000</v>
      </c>
      <c r="E16" s="255">
        <v>88926</v>
      </c>
      <c r="F16" s="258">
        <v>85600</v>
      </c>
      <c r="G16" s="274">
        <f t="shared" si="1"/>
        <v>33600</v>
      </c>
      <c r="H16" s="259">
        <f t="shared" si="0"/>
        <v>3326</v>
      </c>
      <c r="I16" s="280" t="s">
        <v>330</v>
      </c>
      <c r="J16" s="75"/>
      <c r="K16" s="76"/>
      <c r="L16" s="33"/>
    </row>
    <row r="17" spans="1:12" ht="16.5" thickBot="1">
      <c r="A17" s="27">
        <v>16</v>
      </c>
      <c r="B17" s="272" t="s">
        <v>130</v>
      </c>
      <c r="C17" s="293">
        <v>1192000</v>
      </c>
      <c r="D17" s="148">
        <v>1371000</v>
      </c>
      <c r="E17" s="255">
        <v>2557027.85</v>
      </c>
      <c r="F17" s="258">
        <v>2042282.62</v>
      </c>
      <c r="G17" s="274">
        <f t="shared" si="1"/>
        <v>671282.6200000001</v>
      </c>
      <c r="H17" s="259">
        <f t="shared" si="0"/>
        <v>514745.23</v>
      </c>
      <c r="I17" s="280" t="s">
        <v>328</v>
      </c>
      <c r="J17" s="75"/>
      <c r="K17" s="76"/>
      <c r="L17" s="33"/>
    </row>
    <row r="18" spans="1:12" ht="16.5" thickBot="1">
      <c r="A18" s="27">
        <v>22</v>
      </c>
      <c r="B18" s="272" t="s">
        <v>270</v>
      </c>
      <c r="C18" s="293">
        <v>82000</v>
      </c>
      <c r="D18" s="148">
        <v>65000</v>
      </c>
      <c r="E18" s="255">
        <v>30838.8</v>
      </c>
      <c r="F18" s="258">
        <v>16838</v>
      </c>
      <c r="G18" s="274">
        <f t="shared" si="1"/>
        <v>-48162</v>
      </c>
      <c r="H18" s="259">
        <f t="shared" si="0"/>
        <v>14000.8</v>
      </c>
      <c r="I18" s="280" t="s">
        <v>331</v>
      </c>
      <c r="J18" s="75"/>
      <c r="K18" s="76"/>
      <c r="L18" s="33"/>
    </row>
    <row r="19" spans="1:12" ht="16.5" thickBot="1">
      <c r="A19" s="27">
        <v>23</v>
      </c>
      <c r="B19" s="272" t="s">
        <v>212</v>
      </c>
      <c r="C19" s="293">
        <v>72000</v>
      </c>
      <c r="D19" s="148">
        <v>173000</v>
      </c>
      <c r="E19" s="255">
        <v>263461</v>
      </c>
      <c r="F19" s="258">
        <v>250764</v>
      </c>
      <c r="G19" s="274">
        <f t="shared" si="1"/>
        <v>77764</v>
      </c>
      <c r="H19" s="259">
        <f t="shared" si="0"/>
        <v>12697</v>
      </c>
      <c r="I19" s="280"/>
      <c r="J19" s="75"/>
      <c r="K19" s="76"/>
      <c r="L19" s="33"/>
    </row>
    <row r="20" spans="1:12" ht="16.5" thickBot="1">
      <c r="A20" s="27">
        <v>24</v>
      </c>
      <c r="B20" s="272" t="s">
        <v>268</v>
      </c>
      <c r="C20" s="293">
        <v>21000</v>
      </c>
      <c r="D20" s="148">
        <v>107000</v>
      </c>
      <c r="E20" s="255">
        <v>98796</v>
      </c>
      <c r="F20" s="258">
        <v>97907</v>
      </c>
      <c r="G20" s="274">
        <f t="shared" si="1"/>
        <v>-9093</v>
      </c>
      <c r="H20" s="259">
        <f t="shared" si="0"/>
        <v>889</v>
      </c>
      <c r="I20" s="280"/>
      <c r="J20" s="75"/>
      <c r="K20" s="76"/>
      <c r="L20" s="33"/>
    </row>
    <row r="21" spans="1:12" ht="16.5" thickBot="1">
      <c r="A21" s="27">
        <v>27</v>
      </c>
      <c r="B21" s="272" t="s">
        <v>171</v>
      </c>
      <c r="C21" s="293">
        <v>104000</v>
      </c>
      <c r="D21" s="148">
        <v>147000</v>
      </c>
      <c r="E21" s="255">
        <v>142114.08</v>
      </c>
      <c r="F21" s="258">
        <v>138498</v>
      </c>
      <c r="G21" s="274">
        <f t="shared" si="1"/>
        <v>-8502</v>
      </c>
      <c r="H21" s="259">
        <f t="shared" si="0"/>
        <v>3616.079999999987</v>
      </c>
      <c r="I21" s="280"/>
      <c r="J21" s="75"/>
      <c r="K21" s="76"/>
      <c r="L21" s="33"/>
    </row>
    <row r="22" spans="1:12" ht="16.5" thickBot="1">
      <c r="A22" s="27">
        <v>28</v>
      </c>
      <c r="B22" s="272" t="s">
        <v>197</v>
      </c>
      <c r="C22" s="293">
        <v>424000</v>
      </c>
      <c r="D22" s="148">
        <v>468000</v>
      </c>
      <c r="E22" s="255">
        <v>533571.72</v>
      </c>
      <c r="F22" s="274">
        <v>636224</v>
      </c>
      <c r="G22" s="274">
        <f t="shared" si="1"/>
        <v>168224</v>
      </c>
      <c r="H22" s="259">
        <f t="shared" si="0"/>
        <v>-102652.28000000003</v>
      </c>
      <c r="I22" s="280" t="s">
        <v>359</v>
      </c>
      <c r="J22" s="75"/>
      <c r="K22" s="76"/>
      <c r="L22" s="33"/>
    </row>
    <row r="23" spans="1:12" ht="16.5" thickBot="1">
      <c r="A23" s="27">
        <v>31</v>
      </c>
      <c r="B23" s="272" t="s">
        <v>110</v>
      </c>
      <c r="C23" s="293">
        <v>0</v>
      </c>
      <c r="D23" s="75"/>
      <c r="E23" s="75"/>
      <c r="F23" s="257">
        <v>0</v>
      </c>
      <c r="G23" s="274">
        <f t="shared" si="1"/>
        <v>0</v>
      </c>
      <c r="H23" s="259">
        <f t="shared" si="0"/>
        <v>0</v>
      </c>
      <c r="I23" s="280"/>
      <c r="J23" s="75"/>
      <c r="K23" s="76"/>
      <c r="L23" s="33"/>
    </row>
    <row r="24" spans="1:12" ht="16.5" thickBot="1">
      <c r="A24" s="27">
        <v>34</v>
      </c>
      <c r="B24" s="272" t="s">
        <v>114</v>
      </c>
      <c r="C24" s="293">
        <v>110000</v>
      </c>
      <c r="D24" s="148">
        <v>110000</v>
      </c>
      <c r="E24" s="255">
        <v>110000</v>
      </c>
      <c r="F24" s="258">
        <v>110000</v>
      </c>
      <c r="G24" s="274">
        <f t="shared" si="1"/>
        <v>0</v>
      </c>
      <c r="H24" s="259">
        <f t="shared" si="0"/>
        <v>0</v>
      </c>
      <c r="I24" s="280"/>
      <c r="J24" s="75"/>
      <c r="K24" s="76"/>
      <c r="L24" s="33"/>
    </row>
    <row r="25" spans="1:12" ht="16.5" thickBot="1">
      <c r="A25" s="27">
        <v>35</v>
      </c>
      <c r="B25" s="272" t="s">
        <v>111</v>
      </c>
      <c r="C25" s="293">
        <v>3676000</v>
      </c>
      <c r="D25" s="148">
        <v>3912000</v>
      </c>
      <c r="E25" s="255">
        <v>4328125</v>
      </c>
      <c r="F25" s="258">
        <v>4328125</v>
      </c>
      <c r="G25" s="274">
        <f t="shared" si="1"/>
        <v>416125</v>
      </c>
      <c r="H25" s="259">
        <f t="shared" si="0"/>
        <v>0</v>
      </c>
      <c r="I25" s="280" t="s">
        <v>299</v>
      </c>
      <c r="J25" s="75"/>
      <c r="K25" s="76"/>
      <c r="L25" s="33"/>
    </row>
    <row r="26" spans="1:12" ht="16.5" thickBot="1">
      <c r="A26" s="27">
        <v>41</v>
      </c>
      <c r="B26" s="276" t="s">
        <v>112</v>
      </c>
      <c r="C26" s="293">
        <v>4447000</v>
      </c>
      <c r="D26" s="148">
        <v>4716000</v>
      </c>
      <c r="E26" s="255">
        <v>4716000</v>
      </c>
      <c r="F26" s="258">
        <v>4716000</v>
      </c>
      <c r="G26" s="274">
        <f t="shared" si="1"/>
        <v>0</v>
      </c>
      <c r="H26" s="259">
        <f t="shared" si="0"/>
        <v>0</v>
      </c>
      <c r="I26" s="280"/>
      <c r="J26" s="75"/>
      <c r="K26" s="76"/>
      <c r="L26" s="33"/>
    </row>
    <row r="27" spans="1:12" ht="16.5" thickBot="1">
      <c r="A27" s="27">
        <v>42</v>
      </c>
      <c r="B27" s="276" t="s">
        <v>336</v>
      </c>
      <c r="C27" s="293">
        <v>841000</v>
      </c>
      <c r="D27" s="148">
        <v>2651000</v>
      </c>
      <c r="E27" s="255">
        <v>1560685</v>
      </c>
      <c r="F27" s="258">
        <v>1560685</v>
      </c>
      <c r="G27" s="274">
        <f t="shared" si="1"/>
        <v>-1090315</v>
      </c>
      <c r="H27" s="259">
        <f t="shared" si="0"/>
        <v>0</v>
      </c>
      <c r="I27" s="280"/>
      <c r="J27" s="75"/>
      <c r="K27" s="76"/>
      <c r="L27" s="33"/>
    </row>
    <row r="28" spans="1:12" ht="16.5" thickBot="1">
      <c r="A28" s="27"/>
      <c r="B28" s="276" t="s">
        <v>278</v>
      </c>
      <c r="C28" s="293"/>
      <c r="D28" s="148">
        <v>0</v>
      </c>
      <c r="E28" s="255">
        <v>2944609</v>
      </c>
      <c r="F28" s="274">
        <v>1713894</v>
      </c>
      <c r="G28" s="274">
        <f>SUM(F28-D28)</f>
        <v>1713894</v>
      </c>
      <c r="H28" s="259">
        <v>1238933</v>
      </c>
      <c r="I28" s="280" t="s">
        <v>332</v>
      </c>
      <c r="J28" s="75"/>
      <c r="K28" s="76"/>
      <c r="L28" s="33"/>
    </row>
    <row r="29" spans="1:13" ht="16.5" thickBot="1">
      <c r="A29" s="27">
        <v>44</v>
      </c>
      <c r="B29" s="272" t="s">
        <v>113</v>
      </c>
      <c r="C29" s="293">
        <v>0</v>
      </c>
      <c r="D29" s="75"/>
      <c r="E29" s="75"/>
      <c r="F29" s="256"/>
      <c r="G29" s="274">
        <f t="shared" si="1"/>
        <v>0</v>
      </c>
      <c r="H29" s="259">
        <f t="shared" si="0"/>
        <v>0</v>
      </c>
      <c r="I29" s="280"/>
      <c r="J29" s="75"/>
      <c r="K29" s="76"/>
      <c r="L29" s="33"/>
      <c r="M29" s="34"/>
    </row>
    <row r="30" spans="1:13" ht="16.5" thickBot="1">
      <c r="A30" s="27">
        <v>45</v>
      </c>
      <c r="B30" s="275" t="s">
        <v>301</v>
      </c>
      <c r="C30" s="295">
        <v>8507000</v>
      </c>
      <c r="D30" s="148">
        <v>4723000</v>
      </c>
      <c r="E30" s="255">
        <v>4759400</v>
      </c>
      <c r="F30" s="274">
        <v>4759400</v>
      </c>
      <c r="G30" s="274">
        <f t="shared" si="1"/>
        <v>36400</v>
      </c>
      <c r="H30" s="278">
        <f t="shared" si="0"/>
        <v>0</v>
      </c>
      <c r="I30" s="280"/>
      <c r="J30" s="75"/>
      <c r="K30" s="76"/>
      <c r="L30" s="33"/>
      <c r="M30" s="34"/>
    </row>
    <row r="31" spans="1:13" ht="12.75">
      <c r="A31" s="26"/>
      <c r="B31" s="26"/>
      <c r="C31" s="118"/>
      <c r="I31" s="281"/>
      <c r="J31" s="34"/>
      <c r="K31" s="8"/>
      <c r="L31" s="8"/>
      <c r="M31" s="34"/>
    </row>
    <row r="32" spans="2:13" ht="16.5" thickBot="1">
      <c r="B32" s="27" t="s">
        <v>67</v>
      </c>
      <c r="C32" s="296">
        <f aca="true" t="shared" si="2" ref="C32:H32">SUM(C4:C30)</f>
        <v>87591000</v>
      </c>
      <c r="D32" s="251">
        <v>92508700</v>
      </c>
      <c r="E32" s="251">
        <f t="shared" si="2"/>
        <v>97978815.69999999</v>
      </c>
      <c r="F32" s="251">
        <f t="shared" si="2"/>
        <v>96246648.62</v>
      </c>
      <c r="G32" s="251">
        <f t="shared" si="2"/>
        <v>3737948.62</v>
      </c>
      <c r="H32" s="251">
        <f t="shared" si="2"/>
        <v>1745385.08</v>
      </c>
      <c r="I32" s="282"/>
      <c r="J32" s="75"/>
      <c r="K32" s="253"/>
      <c r="L32" s="254"/>
      <c r="M32" s="34"/>
    </row>
    <row r="33" spans="1:13" ht="13.5" thickTop="1">
      <c r="A33" s="6"/>
      <c r="B33" s="51"/>
      <c r="C33" s="5"/>
      <c r="D33" s="5"/>
      <c r="E33" s="5"/>
      <c r="F33" s="5"/>
      <c r="G33" s="5"/>
      <c r="H33" s="5"/>
      <c r="I33" s="5"/>
      <c r="J33" s="8"/>
      <c r="K33" s="8"/>
      <c r="L33" s="33"/>
      <c r="M33" s="34"/>
    </row>
    <row r="34" spans="10:13" ht="12.75">
      <c r="J34" s="34"/>
      <c r="K34" s="34"/>
      <c r="L34" s="34"/>
      <c r="M34" s="34"/>
    </row>
    <row r="35" spans="3:13" ht="23.25">
      <c r="C35" s="246"/>
      <c r="D35" s="247" t="s">
        <v>273</v>
      </c>
      <c r="F35" s="246"/>
      <c r="G35" s="246"/>
      <c r="H35" s="246"/>
      <c r="J35" s="34"/>
      <c r="K35" s="34"/>
      <c r="L35" s="34"/>
      <c r="M35" s="34"/>
    </row>
    <row r="36" spans="3:13" ht="23.25">
      <c r="C36" s="246"/>
      <c r="D36" s="247" t="s">
        <v>302</v>
      </c>
      <c r="F36" s="246"/>
      <c r="G36" s="246"/>
      <c r="H36" s="246"/>
      <c r="J36" s="34"/>
      <c r="K36" s="34"/>
      <c r="L36" s="34"/>
      <c r="M36" s="34"/>
    </row>
    <row r="37" spans="3:13" ht="10.5" customHeight="1">
      <c r="C37" s="246"/>
      <c r="D37" s="247"/>
      <c r="E37" s="246"/>
      <c r="F37" s="246"/>
      <c r="G37" s="246"/>
      <c r="H37" s="246"/>
      <c r="J37" s="34"/>
      <c r="K37" s="34"/>
      <c r="L37" s="34"/>
      <c r="M37" s="34"/>
    </row>
    <row r="38" spans="3:7" ht="23.25">
      <c r="C38" s="246"/>
      <c r="D38" s="247"/>
      <c r="E38" s="246"/>
      <c r="F38" s="248">
        <v>4759400</v>
      </c>
      <c r="G38" s="247" t="s">
        <v>276</v>
      </c>
    </row>
    <row r="39" spans="3:7" ht="24" thickBot="1">
      <c r="C39" s="343"/>
      <c r="D39" s="246"/>
      <c r="E39" s="246"/>
      <c r="F39" s="249">
        <v>-4448234</v>
      </c>
      <c r="G39" s="247" t="s">
        <v>277</v>
      </c>
    </row>
    <row r="40" spans="3:7" ht="24" thickBot="1">
      <c r="C40" s="357" t="s">
        <v>124</v>
      </c>
      <c r="D40" s="246"/>
      <c r="E40" s="246"/>
      <c r="F40" s="250">
        <f>SUM(F38:F39)</f>
        <v>311166</v>
      </c>
      <c r="G40" s="247" t="s">
        <v>274</v>
      </c>
    </row>
    <row r="41" spans="2:7" ht="24" thickBot="1">
      <c r="B41" s="344" t="s">
        <v>278</v>
      </c>
      <c r="C41" s="343">
        <v>0</v>
      </c>
      <c r="D41" s="246" t="s">
        <v>337</v>
      </c>
      <c r="E41" s="246"/>
      <c r="F41" s="246"/>
      <c r="G41" s="246"/>
    </row>
    <row r="42" spans="2:3" ht="27" thickBot="1">
      <c r="B42" s="345" t="s">
        <v>338</v>
      </c>
      <c r="C42" s="346" t="s">
        <v>339</v>
      </c>
    </row>
    <row r="43" spans="2:8" ht="26.25">
      <c r="B43" s="347" t="s">
        <v>340</v>
      </c>
      <c r="C43" s="348">
        <v>99800</v>
      </c>
      <c r="H43" s="342"/>
    </row>
    <row r="44" spans="2:8" ht="26.25">
      <c r="B44" s="347" t="s">
        <v>341</v>
      </c>
      <c r="C44" s="349">
        <v>52400</v>
      </c>
      <c r="F44" s="270">
        <v>1713894</v>
      </c>
      <c r="G44" s="9" t="s">
        <v>361</v>
      </c>
      <c r="H44" s="342"/>
    </row>
    <row r="45" spans="2:8" ht="27" thickBot="1">
      <c r="B45" s="347" t="s">
        <v>342</v>
      </c>
      <c r="C45" s="348">
        <v>94794</v>
      </c>
      <c r="F45" s="367">
        <v>-1090315</v>
      </c>
      <c r="G45" s="9" t="s">
        <v>360</v>
      </c>
      <c r="H45" s="342"/>
    </row>
    <row r="46" spans="2:8" ht="26.25">
      <c r="B46" s="347" t="s">
        <v>343</v>
      </c>
      <c r="C46" s="348">
        <v>21000</v>
      </c>
      <c r="F46" s="270">
        <f>SUM(F44:F45)</f>
        <v>623579</v>
      </c>
      <c r="G46" s="9" t="s">
        <v>362</v>
      </c>
      <c r="H46" s="342"/>
    </row>
    <row r="47" spans="2:8" ht="26.25">
      <c r="B47" s="347" t="s">
        <v>344</v>
      </c>
      <c r="C47" s="348">
        <v>277262.5</v>
      </c>
      <c r="G47" s="9" t="s">
        <v>363</v>
      </c>
      <c r="H47" s="342"/>
    </row>
    <row r="48" spans="2:8" ht="26.25">
      <c r="B48" s="350" t="s">
        <v>345</v>
      </c>
      <c r="C48" s="351">
        <v>66860</v>
      </c>
      <c r="G48" s="9" t="s">
        <v>364</v>
      </c>
      <c r="H48" s="342"/>
    </row>
    <row r="49" spans="2:8" ht="27" thickBot="1">
      <c r="B49" s="350" t="s">
        <v>346</v>
      </c>
      <c r="C49" s="352">
        <v>15630</v>
      </c>
      <c r="H49" s="342"/>
    </row>
    <row r="50" spans="2:8" ht="26.25">
      <c r="B50" s="347"/>
      <c r="C50" s="348">
        <f>SUM(C43:C49)</f>
        <v>627746.5</v>
      </c>
      <c r="H50" s="342"/>
    </row>
    <row r="51" spans="2:8" ht="26.25">
      <c r="B51" s="347"/>
      <c r="C51" s="348"/>
      <c r="H51" s="342"/>
    </row>
    <row r="52" spans="2:8" ht="26.25">
      <c r="B52" s="347"/>
      <c r="C52" s="353"/>
      <c r="H52" s="342"/>
    </row>
    <row r="53" spans="2:8" ht="28.5">
      <c r="B53" s="354" t="s">
        <v>347</v>
      </c>
      <c r="C53" s="355">
        <v>843718</v>
      </c>
      <c r="H53" s="342"/>
    </row>
    <row r="54" spans="2:8" ht="27" thickBot="1">
      <c r="B54" s="356" t="s">
        <v>348</v>
      </c>
      <c r="C54" s="352">
        <v>627747</v>
      </c>
      <c r="H54" s="342"/>
    </row>
    <row r="55" spans="2:8" ht="26.25">
      <c r="B55" s="356" t="s">
        <v>349</v>
      </c>
      <c r="C55" s="348">
        <f>SUM(C53-C54)</f>
        <v>215971</v>
      </c>
      <c r="H55" s="342"/>
    </row>
    <row r="56" ht="12.75">
      <c r="H56" s="342"/>
    </row>
    <row r="57" ht="12.75">
      <c r="H57" s="342"/>
    </row>
    <row r="58" ht="12.75">
      <c r="H58" s="342"/>
    </row>
    <row r="59" ht="12.75">
      <c r="H59" s="342"/>
    </row>
  </sheetData>
  <sheetProtection/>
  <printOptions gridLines="1"/>
  <pageMargins left="0" right="0" top="1.5" bottom="0.25" header="0.5" footer="0.5"/>
  <pageSetup fitToHeight="1" fitToWidth="1" horizontalDpi="600" verticalDpi="600" orientation="landscape" paperSize="5" scale="45" r:id="rId1"/>
  <headerFooter alignWithMargins="0">
    <oddHeader>&amp;LBUDGET 23-24
DEPT -- MNG #&amp;C&amp;"Arial,Bold"&amp;12GATEWAY SCHOOL DISTRICT
GENERAL FUND&amp;"Arial,Regular"&amp;10
&amp;"Arial,Bold"&amp;12ANALYSIS OF PRIOR YEAR EXPENDITURE BUDGETS
AND ACTUAL EXPENDITURE BUDGETS FOR
2023-2024
&amp;"Arial,Regular"&amp;10
&amp;R6/5/2023
MSZ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9"/>
  <sheetViews>
    <sheetView zoomScale="154" zoomScaleNormal="154" zoomScalePageLayoutView="0" workbookViewId="0" topLeftCell="A63">
      <selection activeCell="E72" sqref="E72"/>
    </sheetView>
  </sheetViews>
  <sheetFormatPr defaultColWidth="9.140625" defaultRowHeight="12.75"/>
  <cols>
    <col min="1" max="1" width="44.421875" style="0" customWidth="1"/>
    <col min="2" max="2" width="18.140625" style="0" hidden="1" customWidth="1"/>
    <col min="3" max="3" width="16.57421875" style="0" hidden="1" customWidth="1"/>
    <col min="4" max="4" width="24.57421875" style="118" customWidth="1"/>
    <col min="5" max="5" width="23.7109375" style="0" customWidth="1"/>
    <col min="6" max="6" width="19.8515625" style="0" customWidth="1"/>
    <col min="7" max="7" width="13.140625" style="0" customWidth="1"/>
  </cols>
  <sheetData>
    <row r="1" spans="1:8" ht="15">
      <c r="A1" s="206"/>
      <c r="B1" s="207" t="s">
        <v>63</v>
      </c>
      <c r="C1" s="208" t="s">
        <v>20</v>
      </c>
      <c r="D1" s="260" t="s">
        <v>188</v>
      </c>
      <c r="E1" s="209" t="s">
        <v>79</v>
      </c>
      <c r="F1" s="208" t="s">
        <v>21</v>
      </c>
      <c r="G1" s="210" t="s">
        <v>22</v>
      </c>
      <c r="H1" s="206"/>
    </row>
    <row r="2" spans="1:8" ht="15">
      <c r="A2" s="206"/>
      <c r="B2" s="207" t="s">
        <v>19</v>
      </c>
      <c r="C2" s="209" t="s">
        <v>23</v>
      </c>
      <c r="D2" s="260" t="s">
        <v>19</v>
      </c>
      <c r="E2" s="209" t="s">
        <v>19</v>
      </c>
      <c r="F2" s="211" t="s">
        <v>24</v>
      </c>
      <c r="G2" s="211" t="s">
        <v>24</v>
      </c>
      <c r="H2" s="206"/>
    </row>
    <row r="3" spans="1:8" ht="15.75" thickBot="1">
      <c r="A3" s="212" t="s">
        <v>25</v>
      </c>
      <c r="B3" s="213" t="s">
        <v>123</v>
      </c>
      <c r="C3" s="212" t="s">
        <v>123</v>
      </c>
      <c r="D3" s="261" t="s">
        <v>124</v>
      </c>
      <c r="E3" s="214" t="s">
        <v>125</v>
      </c>
      <c r="F3" s="215" t="s">
        <v>40</v>
      </c>
      <c r="G3" s="215" t="s">
        <v>40</v>
      </c>
      <c r="H3" s="206"/>
    </row>
    <row r="4" spans="1:8" ht="14.25" customHeight="1">
      <c r="A4" s="216" t="s">
        <v>15</v>
      </c>
      <c r="B4" s="217"/>
      <c r="C4" s="218"/>
      <c r="D4" s="262"/>
      <c r="E4" s="219" t="s">
        <v>300</v>
      </c>
      <c r="F4" s="220"/>
      <c r="G4" s="221"/>
      <c r="H4" s="206"/>
    </row>
    <row r="5" spans="1:8" ht="15">
      <c r="A5" s="206" t="s">
        <v>31</v>
      </c>
      <c r="B5" s="222">
        <v>44006326</v>
      </c>
      <c r="C5" s="223">
        <v>44894371.64</v>
      </c>
      <c r="D5" s="263">
        <v>48095247</v>
      </c>
      <c r="E5" s="224">
        <v>48129503</v>
      </c>
      <c r="F5" s="225">
        <f>SUM(E5-D5)</f>
        <v>34256</v>
      </c>
      <c r="G5" s="226">
        <f>F5/D5</f>
        <v>0.0007122533334738878</v>
      </c>
      <c r="H5" s="206"/>
    </row>
    <row r="6" spans="1:8" ht="15">
      <c r="A6" s="206" t="s">
        <v>104</v>
      </c>
      <c r="B6" s="222">
        <v>46000</v>
      </c>
      <c r="C6" s="223">
        <v>50006.19</v>
      </c>
      <c r="D6" s="263">
        <v>52000</v>
      </c>
      <c r="E6" s="224">
        <v>52000</v>
      </c>
      <c r="F6" s="225">
        <f aca="true" t="shared" si="0" ref="F6:F67">SUM(E6-D6)</f>
        <v>0</v>
      </c>
      <c r="G6" s="226">
        <f aca="true" t="shared" si="1" ref="G6:G66">F6/D6</f>
        <v>0</v>
      </c>
      <c r="H6" s="206"/>
    </row>
    <row r="7" spans="1:8" ht="15">
      <c r="A7" s="206" t="s">
        <v>144</v>
      </c>
      <c r="B7" s="222">
        <v>114950</v>
      </c>
      <c r="C7" s="223">
        <v>112858.07</v>
      </c>
      <c r="D7" s="263">
        <v>113500</v>
      </c>
      <c r="E7" s="224">
        <v>120000</v>
      </c>
      <c r="F7" s="225">
        <f t="shared" si="0"/>
        <v>6500</v>
      </c>
      <c r="G7" s="226">
        <f t="shared" si="1"/>
        <v>0.05726872246696035</v>
      </c>
      <c r="H7" s="206"/>
    </row>
    <row r="8" spans="1:8" ht="15">
      <c r="A8" s="206" t="s">
        <v>142</v>
      </c>
      <c r="B8" s="222">
        <v>3719250</v>
      </c>
      <c r="C8" s="223">
        <v>3959312.36</v>
      </c>
      <c r="D8" s="263">
        <v>4102000</v>
      </c>
      <c r="E8" s="224">
        <v>4192000</v>
      </c>
      <c r="F8" s="225">
        <f t="shared" si="0"/>
        <v>90000</v>
      </c>
      <c r="G8" s="226">
        <f t="shared" si="1"/>
        <v>0.021940516821062895</v>
      </c>
      <c r="H8" s="206"/>
    </row>
    <row r="9" spans="1:8" ht="15">
      <c r="A9" s="206" t="s">
        <v>103</v>
      </c>
      <c r="B9" s="222">
        <v>579500</v>
      </c>
      <c r="C9" s="223">
        <v>799470.84</v>
      </c>
      <c r="D9" s="263">
        <v>743000</v>
      </c>
      <c r="E9" s="224">
        <v>950000</v>
      </c>
      <c r="F9" s="225">
        <f t="shared" si="0"/>
        <v>207000</v>
      </c>
      <c r="G9" s="226">
        <f t="shared" si="1"/>
        <v>0.27860026917900405</v>
      </c>
      <c r="H9" s="206"/>
    </row>
    <row r="10" spans="1:8" ht="15">
      <c r="A10" s="206" t="s">
        <v>143</v>
      </c>
      <c r="B10" s="222">
        <v>1524750</v>
      </c>
      <c r="C10" s="223">
        <v>1957147.35</v>
      </c>
      <c r="D10" s="263">
        <v>1907600</v>
      </c>
      <c r="E10" s="224">
        <v>2292085</v>
      </c>
      <c r="F10" s="225">
        <f t="shared" si="0"/>
        <v>384485</v>
      </c>
      <c r="G10" s="226">
        <f t="shared" si="1"/>
        <v>0.20155430907947158</v>
      </c>
      <c r="H10" s="206"/>
    </row>
    <row r="11" spans="1:8" ht="15">
      <c r="A11" s="206" t="s">
        <v>32</v>
      </c>
      <c r="B11" s="222">
        <v>864500</v>
      </c>
      <c r="C11" s="223">
        <v>1101507.05</v>
      </c>
      <c r="D11" s="263">
        <v>1061000</v>
      </c>
      <c r="E11" s="224">
        <v>1221000</v>
      </c>
      <c r="F11" s="225">
        <f t="shared" si="0"/>
        <v>160000</v>
      </c>
      <c r="G11" s="226">
        <f t="shared" si="1"/>
        <v>0.15080113100848255</v>
      </c>
      <c r="H11" s="206"/>
    </row>
    <row r="12" spans="1:8" ht="15">
      <c r="A12" s="206" t="s">
        <v>102</v>
      </c>
      <c r="B12" s="222">
        <v>132050</v>
      </c>
      <c r="C12" s="223">
        <v>98444.94</v>
      </c>
      <c r="D12" s="263">
        <v>134000</v>
      </c>
      <c r="E12" s="224">
        <v>135700</v>
      </c>
      <c r="F12" s="225">
        <f t="shared" si="0"/>
        <v>1700</v>
      </c>
      <c r="G12" s="226">
        <f t="shared" si="1"/>
        <v>0.012686567164179104</v>
      </c>
      <c r="H12" s="206"/>
    </row>
    <row r="13" spans="1:8" ht="15">
      <c r="A13" s="206" t="s">
        <v>145</v>
      </c>
      <c r="B13" s="222">
        <v>1900</v>
      </c>
      <c r="C13" s="223">
        <v>1017.25</v>
      </c>
      <c r="D13" s="263">
        <v>1300</v>
      </c>
      <c r="E13" s="224">
        <v>1400</v>
      </c>
      <c r="F13" s="225">
        <f t="shared" si="0"/>
        <v>100</v>
      </c>
      <c r="G13" s="226">
        <f t="shared" si="1"/>
        <v>0.07692307692307693</v>
      </c>
      <c r="H13" s="206"/>
    </row>
    <row r="14" spans="1:8" ht="15">
      <c r="A14" s="206" t="s">
        <v>146</v>
      </c>
      <c r="B14" s="222">
        <v>47500</v>
      </c>
      <c r="C14" s="223">
        <v>98361.3</v>
      </c>
      <c r="D14" s="263">
        <v>75000</v>
      </c>
      <c r="E14" s="224">
        <v>90000</v>
      </c>
      <c r="F14" s="225">
        <f t="shared" si="0"/>
        <v>15000</v>
      </c>
      <c r="G14" s="226">
        <f t="shared" si="1"/>
        <v>0.2</v>
      </c>
      <c r="H14" s="206"/>
    </row>
    <row r="15" spans="1:8" ht="15">
      <c r="A15" s="206" t="s">
        <v>101</v>
      </c>
      <c r="B15" s="222">
        <v>50010</v>
      </c>
      <c r="C15" s="223">
        <v>17350.08</v>
      </c>
      <c r="D15" s="263">
        <v>300003</v>
      </c>
      <c r="E15" s="224">
        <v>768000</v>
      </c>
      <c r="F15" s="358">
        <f t="shared" si="0"/>
        <v>467997</v>
      </c>
      <c r="G15" s="226">
        <f t="shared" si="1"/>
        <v>1.5599744002559974</v>
      </c>
      <c r="H15" s="227"/>
    </row>
    <row r="16" spans="1:8" ht="15">
      <c r="A16" s="206" t="s">
        <v>245</v>
      </c>
      <c r="B16" s="222">
        <v>64000</v>
      </c>
      <c r="C16" s="223">
        <v>1407.62</v>
      </c>
      <c r="D16" s="263">
        <v>60000</v>
      </c>
      <c r="E16" s="224">
        <v>75000</v>
      </c>
      <c r="F16" s="225">
        <f t="shared" si="0"/>
        <v>15000</v>
      </c>
      <c r="G16" s="226">
        <f t="shared" si="1"/>
        <v>0.25</v>
      </c>
      <c r="H16" s="206"/>
    </row>
    <row r="17" spans="1:8" ht="15">
      <c r="A17" s="206" t="s">
        <v>100</v>
      </c>
      <c r="B17" s="222">
        <v>736065</v>
      </c>
      <c r="C17" s="223">
        <v>649332.06</v>
      </c>
      <c r="D17" s="263">
        <v>784289</v>
      </c>
      <c r="E17" s="224">
        <v>784289</v>
      </c>
      <c r="F17" s="225">
        <f t="shared" si="0"/>
        <v>0</v>
      </c>
      <c r="G17" s="226">
        <f t="shared" si="1"/>
        <v>0</v>
      </c>
      <c r="H17" s="227"/>
    </row>
    <row r="18" spans="1:8" ht="15">
      <c r="A18" s="206" t="s">
        <v>99</v>
      </c>
      <c r="B18" s="222">
        <v>265050</v>
      </c>
      <c r="C18" s="223">
        <v>66924.54</v>
      </c>
      <c r="D18" s="263">
        <v>13400</v>
      </c>
      <c r="E18" s="224">
        <v>40000</v>
      </c>
      <c r="F18" s="225">
        <f t="shared" si="0"/>
        <v>26600</v>
      </c>
      <c r="G18" s="226">
        <f t="shared" si="1"/>
        <v>1.9850746268656716</v>
      </c>
      <c r="H18" s="206"/>
    </row>
    <row r="19" spans="1:8" ht="15">
      <c r="A19" s="206" t="s">
        <v>70</v>
      </c>
      <c r="B19" s="222">
        <v>0</v>
      </c>
      <c r="C19" s="223">
        <v>3250</v>
      </c>
      <c r="D19" s="263">
        <v>12000</v>
      </c>
      <c r="E19" s="224">
        <v>12000</v>
      </c>
      <c r="F19" s="225">
        <f t="shared" si="0"/>
        <v>0</v>
      </c>
      <c r="G19" s="226">
        <f t="shared" si="1"/>
        <v>0</v>
      </c>
      <c r="H19" s="206"/>
    </row>
    <row r="20" spans="1:8" ht="15">
      <c r="A20" s="206" t="s">
        <v>141</v>
      </c>
      <c r="B20" s="222">
        <v>0</v>
      </c>
      <c r="C20" s="223">
        <v>69254.13</v>
      </c>
      <c r="D20" s="263">
        <v>0</v>
      </c>
      <c r="E20" s="224"/>
      <c r="F20" s="225">
        <f t="shared" si="0"/>
        <v>0</v>
      </c>
      <c r="G20" s="226"/>
      <c r="H20" s="206"/>
    </row>
    <row r="21" spans="1:8" ht="15">
      <c r="A21" s="228" t="s">
        <v>139</v>
      </c>
      <c r="B21" s="222">
        <v>20000</v>
      </c>
      <c r="C21" s="223">
        <v>9926.14</v>
      </c>
      <c r="D21" s="263">
        <v>26000</v>
      </c>
      <c r="E21" s="224">
        <v>27000</v>
      </c>
      <c r="F21" s="225">
        <f t="shared" si="0"/>
        <v>1000</v>
      </c>
      <c r="G21" s="226">
        <f t="shared" si="1"/>
        <v>0.038461538461538464</v>
      </c>
      <c r="H21" s="206"/>
    </row>
    <row r="22" spans="1:8" ht="15">
      <c r="A22" s="206" t="s">
        <v>140</v>
      </c>
      <c r="B22" s="222">
        <v>0</v>
      </c>
      <c r="C22" s="223">
        <v>55925.21</v>
      </c>
      <c r="D22" s="263">
        <v>30000</v>
      </c>
      <c r="E22" s="224">
        <v>30000</v>
      </c>
      <c r="F22" s="225">
        <f t="shared" si="0"/>
        <v>0</v>
      </c>
      <c r="G22" s="226">
        <f t="shared" si="1"/>
        <v>0</v>
      </c>
      <c r="H22" s="206"/>
    </row>
    <row r="23" spans="1:8" ht="15">
      <c r="A23" s="206" t="s">
        <v>33</v>
      </c>
      <c r="B23" s="229">
        <v>168055</v>
      </c>
      <c r="C23" s="230">
        <v>99627.78</v>
      </c>
      <c r="D23" s="264">
        <v>137933</v>
      </c>
      <c r="E23" s="231">
        <v>140000</v>
      </c>
      <c r="F23" s="225">
        <f t="shared" si="0"/>
        <v>2067</v>
      </c>
      <c r="G23" s="226">
        <f t="shared" si="1"/>
        <v>0.014985536456105501</v>
      </c>
      <c r="H23" s="206"/>
    </row>
    <row r="24" spans="1:8" ht="9.75" customHeight="1">
      <c r="A24" s="206"/>
      <c r="B24" s="222"/>
      <c r="C24" s="223"/>
      <c r="D24" s="265"/>
      <c r="E24" s="223"/>
      <c r="F24" s="225">
        <f t="shared" si="0"/>
        <v>0</v>
      </c>
      <c r="G24" s="226"/>
      <c r="H24" s="206"/>
    </row>
    <row r="25" spans="1:8" ht="15">
      <c r="A25" s="232" t="s">
        <v>16</v>
      </c>
      <c r="B25" s="229">
        <f>SUM(B5:B23)</f>
        <v>52339906</v>
      </c>
      <c r="C25" s="230">
        <f>SUM(C5:C23)</f>
        <v>54045494.55</v>
      </c>
      <c r="D25" s="264">
        <f>SUM(D5:D23)</f>
        <v>57648272</v>
      </c>
      <c r="E25" s="231">
        <f>SUM(E5:E23)</f>
        <v>59059977</v>
      </c>
      <c r="F25" s="225">
        <f t="shared" si="0"/>
        <v>1411705</v>
      </c>
      <c r="G25" s="226">
        <f t="shared" si="1"/>
        <v>0.024488244851467535</v>
      </c>
      <c r="H25" s="206"/>
    </row>
    <row r="26" spans="1:8" ht="15">
      <c r="A26" s="233" t="s">
        <v>49</v>
      </c>
      <c r="B26" s="222"/>
      <c r="C26" s="223"/>
      <c r="D26" s="265"/>
      <c r="E26" s="223"/>
      <c r="F26" s="225">
        <f t="shared" si="0"/>
        <v>0</v>
      </c>
      <c r="G26" s="226"/>
      <c r="H26" s="206"/>
    </row>
    <row r="27" spans="1:8" ht="15">
      <c r="A27" s="206" t="s">
        <v>84</v>
      </c>
      <c r="B27" s="222">
        <v>7945609</v>
      </c>
      <c r="C27" s="223">
        <v>7945599.48</v>
      </c>
      <c r="D27" s="263">
        <v>8495453</v>
      </c>
      <c r="E27" s="224">
        <v>10375480</v>
      </c>
      <c r="F27" s="225">
        <f t="shared" si="0"/>
        <v>1880027</v>
      </c>
      <c r="G27" s="226">
        <f t="shared" si="1"/>
        <v>0.22129802848653274</v>
      </c>
      <c r="H27" s="227"/>
    </row>
    <row r="28" spans="1:8" ht="15">
      <c r="A28" s="206" t="s">
        <v>198</v>
      </c>
      <c r="B28" s="222">
        <v>1223656</v>
      </c>
      <c r="C28" s="223">
        <v>1245852.69</v>
      </c>
      <c r="D28" s="263">
        <v>1359377</v>
      </c>
      <c r="E28" s="224">
        <v>1405142</v>
      </c>
      <c r="F28" s="225">
        <f t="shared" si="0"/>
        <v>45765</v>
      </c>
      <c r="G28" s="226">
        <f t="shared" si="1"/>
        <v>0.033666157364733995</v>
      </c>
      <c r="H28" s="206"/>
    </row>
    <row r="29" spans="1:8" ht="15">
      <c r="A29" s="206" t="s">
        <v>85</v>
      </c>
      <c r="B29" s="222">
        <v>50000</v>
      </c>
      <c r="C29" s="223">
        <v>108364.47</v>
      </c>
      <c r="D29" s="263">
        <v>67000</v>
      </c>
      <c r="E29" s="224">
        <v>67000</v>
      </c>
      <c r="F29" s="225">
        <f t="shared" si="0"/>
        <v>0</v>
      </c>
      <c r="G29" s="226">
        <f t="shared" si="1"/>
        <v>0</v>
      </c>
      <c r="H29" s="206"/>
    </row>
    <row r="30" spans="1:8" ht="15">
      <c r="A30" s="206" t="s">
        <v>41</v>
      </c>
      <c r="B30" s="222">
        <v>2258509</v>
      </c>
      <c r="C30" s="223">
        <v>2258426.23</v>
      </c>
      <c r="D30" s="263">
        <v>2556533</v>
      </c>
      <c r="E30" s="224">
        <v>2909670</v>
      </c>
      <c r="F30" s="225">
        <f t="shared" si="0"/>
        <v>353137</v>
      </c>
      <c r="G30" s="226">
        <f t="shared" si="1"/>
        <v>0.1381312112927938</v>
      </c>
      <c r="H30" s="227"/>
    </row>
    <row r="31" spans="1:8" ht="15">
      <c r="A31" s="206" t="s">
        <v>170</v>
      </c>
      <c r="B31" s="222">
        <v>0</v>
      </c>
      <c r="C31" s="223">
        <v>0</v>
      </c>
      <c r="D31" s="263">
        <v>0</v>
      </c>
      <c r="E31" s="224"/>
      <c r="F31" s="225">
        <f t="shared" si="0"/>
        <v>0</v>
      </c>
      <c r="G31" s="226"/>
      <c r="H31" s="206"/>
    </row>
    <row r="32" spans="1:8" ht="15">
      <c r="A32" s="206" t="s">
        <v>42</v>
      </c>
      <c r="B32" s="222">
        <v>1050000</v>
      </c>
      <c r="C32" s="223">
        <v>886997.76</v>
      </c>
      <c r="D32" s="263">
        <v>842000</v>
      </c>
      <c r="E32" s="224">
        <v>842000</v>
      </c>
      <c r="F32" s="225">
        <f>SUM(E32-D32)</f>
        <v>0</v>
      </c>
      <c r="G32" s="226">
        <f t="shared" si="1"/>
        <v>0</v>
      </c>
      <c r="H32" s="227"/>
    </row>
    <row r="33" spans="1:8" ht="15">
      <c r="A33" s="206" t="s">
        <v>34</v>
      </c>
      <c r="B33" s="222">
        <v>454918</v>
      </c>
      <c r="C33" s="223">
        <v>500209.62</v>
      </c>
      <c r="D33" s="263">
        <v>527000</v>
      </c>
      <c r="E33" s="224">
        <v>742000</v>
      </c>
      <c r="F33" s="225">
        <f>SUM(E33-D33)</f>
        <v>215000</v>
      </c>
      <c r="G33" s="226">
        <f t="shared" si="1"/>
        <v>0.4079696394686907</v>
      </c>
      <c r="H33" s="227"/>
    </row>
    <row r="34" spans="1:8" ht="15">
      <c r="A34" s="206" t="s">
        <v>105</v>
      </c>
      <c r="B34" s="222">
        <v>70000</v>
      </c>
      <c r="C34" s="223">
        <v>69034.4</v>
      </c>
      <c r="D34" s="263">
        <v>69000</v>
      </c>
      <c r="E34" s="224">
        <v>69000</v>
      </c>
      <c r="F34" s="225">
        <f t="shared" si="0"/>
        <v>0</v>
      </c>
      <c r="G34" s="226">
        <f t="shared" si="1"/>
        <v>0</v>
      </c>
      <c r="H34" s="206"/>
    </row>
    <row r="35" spans="1:8" ht="15">
      <c r="A35" s="206" t="s">
        <v>78</v>
      </c>
      <c r="B35" s="222">
        <v>1460308</v>
      </c>
      <c r="C35" s="223">
        <v>1460308.29</v>
      </c>
      <c r="D35" s="263">
        <v>1840398</v>
      </c>
      <c r="E35" s="224">
        <v>1840192</v>
      </c>
      <c r="F35" s="225">
        <f t="shared" si="0"/>
        <v>-206</v>
      </c>
      <c r="G35" s="226">
        <f t="shared" si="1"/>
        <v>-0.00011193231029375168</v>
      </c>
      <c r="H35" s="206"/>
    </row>
    <row r="36" spans="1:8" ht="15">
      <c r="A36" s="206" t="s">
        <v>77</v>
      </c>
      <c r="B36" s="222">
        <v>0</v>
      </c>
      <c r="C36" s="223">
        <v>60000</v>
      </c>
      <c r="D36" s="263">
        <v>0</v>
      </c>
      <c r="E36" s="224"/>
      <c r="F36" s="225">
        <f t="shared" si="0"/>
        <v>0</v>
      </c>
      <c r="G36" s="226"/>
      <c r="H36" s="206"/>
    </row>
    <row r="37" spans="1:8" ht="15">
      <c r="A37" s="206" t="s">
        <v>118</v>
      </c>
      <c r="B37" s="222">
        <v>385880</v>
      </c>
      <c r="C37" s="223">
        <v>385880</v>
      </c>
      <c r="D37" s="263">
        <v>385880</v>
      </c>
      <c r="E37" s="224">
        <v>385880</v>
      </c>
      <c r="F37" s="225">
        <f t="shared" si="0"/>
        <v>0</v>
      </c>
      <c r="G37" s="226">
        <f t="shared" si="1"/>
        <v>0</v>
      </c>
      <c r="H37" s="227"/>
    </row>
    <row r="38" spans="1:8" ht="15">
      <c r="A38" s="206" t="s">
        <v>98</v>
      </c>
      <c r="B38" s="222">
        <v>0</v>
      </c>
      <c r="C38" s="223">
        <v>0</v>
      </c>
      <c r="D38" s="263">
        <v>0</v>
      </c>
      <c r="E38" s="224"/>
      <c r="F38" s="225">
        <f t="shared" si="0"/>
        <v>0</v>
      </c>
      <c r="G38" s="226"/>
      <c r="H38" s="206"/>
    </row>
    <row r="39" spans="1:8" ht="15">
      <c r="A39" s="206" t="s">
        <v>199</v>
      </c>
      <c r="B39" s="222">
        <v>0</v>
      </c>
      <c r="C39" s="223">
        <v>5906.14</v>
      </c>
      <c r="D39" s="263">
        <v>0</v>
      </c>
      <c r="E39" s="224"/>
      <c r="F39" s="225">
        <f t="shared" si="0"/>
        <v>0</v>
      </c>
      <c r="G39" s="226"/>
      <c r="H39" s="206"/>
    </row>
    <row r="40" spans="1:8" ht="15">
      <c r="A40" s="206" t="s">
        <v>119</v>
      </c>
      <c r="B40" s="222">
        <v>0</v>
      </c>
      <c r="C40" s="223">
        <v>0</v>
      </c>
      <c r="D40" s="263">
        <v>0</v>
      </c>
      <c r="E40" s="224"/>
      <c r="F40" s="225">
        <f t="shared" si="0"/>
        <v>0</v>
      </c>
      <c r="G40" s="226"/>
      <c r="H40" s="206"/>
    </row>
    <row r="41" spans="1:8" ht="15">
      <c r="A41" s="206" t="s">
        <v>120</v>
      </c>
      <c r="B41" s="229">
        <v>5577670</v>
      </c>
      <c r="C41" s="230">
        <v>5571742.87</v>
      </c>
      <c r="D41" s="264">
        <v>6336156</v>
      </c>
      <c r="E41" s="231">
        <v>6315429</v>
      </c>
      <c r="F41" s="225">
        <f t="shared" si="0"/>
        <v>-20727</v>
      </c>
      <c r="G41" s="226">
        <f t="shared" si="1"/>
        <v>-0.0032712262766257647</v>
      </c>
      <c r="H41" s="206"/>
    </row>
    <row r="42" spans="1:8" ht="14.25">
      <c r="A42" s="206"/>
      <c r="B42" s="222"/>
      <c r="C42" s="223"/>
      <c r="D42" s="265"/>
      <c r="E42" s="223"/>
      <c r="F42" s="225">
        <f t="shared" si="0"/>
        <v>0</v>
      </c>
      <c r="G42" s="226"/>
      <c r="H42" s="206"/>
    </row>
    <row r="43" spans="1:8" ht="15">
      <c r="A43" s="234" t="s">
        <v>12</v>
      </c>
      <c r="B43" s="229">
        <f>SUM(B27:B41)</f>
        <v>20476550</v>
      </c>
      <c r="C43" s="230">
        <f>SUM(C27:C41)</f>
        <v>20498321.950000003</v>
      </c>
      <c r="D43" s="264">
        <f>SUM(D27:D41)</f>
        <v>22478797</v>
      </c>
      <c r="E43" s="231">
        <f>SUM(E27:E41)</f>
        <v>24951793</v>
      </c>
      <c r="F43" s="225">
        <f t="shared" si="0"/>
        <v>2472996</v>
      </c>
      <c r="G43" s="226">
        <f t="shared" si="1"/>
        <v>0.11001460620868635</v>
      </c>
      <c r="H43" s="206"/>
    </row>
    <row r="44" spans="1:8" ht="15">
      <c r="A44" s="234"/>
      <c r="B44" s="222"/>
      <c r="C44" s="223"/>
      <c r="D44" s="263"/>
      <c r="E44" s="224"/>
      <c r="F44" s="225">
        <f t="shared" si="0"/>
        <v>0</v>
      </c>
      <c r="G44" s="226"/>
      <c r="H44" s="206"/>
    </row>
    <row r="45" spans="1:8" ht="15">
      <c r="A45" s="233" t="s">
        <v>50</v>
      </c>
      <c r="B45" s="222"/>
      <c r="C45" s="223"/>
      <c r="D45" s="263"/>
      <c r="E45" s="224"/>
      <c r="F45" s="225">
        <f t="shared" si="0"/>
        <v>0</v>
      </c>
      <c r="G45" s="226"/>
      <c r="H45" s="206"/>
    </row>
    <row r="46" spans="1:8" ht="15">
      <c r="A46" s="235" t="s">
        <v>220</v>
      </c>
      <c r="B46" s="222">
        <v>0</v>
      </c>
      <c r="C46" s="223">
        <v>25118</v>
      </c>
      <c r="D46" s="263">
        <v>0</v>
      </c>
      <c r="E46" s="224"/>
      <c r="F46" s="225">
        <f t="shared" si="0"/>
        <v>0</v>
      </c>
      <c r="G46" s="226"/>
      <c r="H46" s="206"/>
    </row>
    <row r="47" spans="1:8" ht="15">
      <c r="A47" s="206" t="s">
        <v>152</v>
      </c>
      <c r="B47" s="222">
        <v>799507</v>
      </c>
      <c r="C47" s="223">
        <v>796755</v>
      </c>
      <c r="D47" s="263">
        <v>833797</v>
      </c>
      <c r="E47" s="224">
        <v>1019781</v>
      </c>
      <c r="F47" s="225">
        <f t="shared" si="0"/>
        <v>185984</v>
      </c>
      <c r="G47" s="226">
        <f t="shared" si="1"/>
        <v>0.2230566912569846</v>
      </c>
      <c r="H47" s="227"/>
    </row>
    <row r="48" spans="1:8" ht="15">
      <c r="A48" s="206" t="s">
        <v>62</v>
      </c>
      <c r="B48" s="222">
        <v>133325</v>
      </c>
      <c r="C48" s="223">
        <v>126768.09</v>
      </c>
      <c r="D48" s="263">
        <v>130567</v>
      </c>
      <c r="E48" s="224">
        <v>129806</v>
      </c>
      <c r="F48" s="225">
        <f t="shared" si="0"/>
        <v>-761</v>
      </c>
      <c r="G48" s="226">
        <f t="shared" si="1"/>
        <v>-0.005828425252935274</v>
      </c>
      <c r="H48" s="227"/>
    </row>
    <row r="49" spans="1:8" ht="15">
      <c r="A49" s="206" t="s">
        <v>151</v>
      </c>
      <c r="B49" s="222">
        <v>6000</v>
      </c>
      <c r="C49" s="223">
        <v>7000</v>
      </c>
      <c r="D49" s="263">
        <v>5800</v>
      </c>
      <c r="E49" s="224">
        <v>5800</v>
      </c>
      <c r="F49" s="225">
        <f t="shared" si="0"/>
        <v>0</v>
      </c>
      <c r="G49" s="226">
        <f t="shared" si="1"/>
        <v>0</v>
      </c>
      <c r="H49" s="227"/>
    </row>
    <row r="50" spans="1:8" ht="15">
      <c r="A50" s="206" t="s">
        <v>150</v>
      </c>
      <c r="B50" s="222">
        <v>54543</v>
      </c>
      <c r="C50" s="223">
        <v>52205.25</v>
      </c>
      <c r="D50" s="263">
        <v>60415</v>
      </c>
      <c r="E50" s="224">
        <v>65360</v>
      </c>
      <c r="F50" s="225">
        <f t="shared" si="0"/>
        <v>4945</v>
      </c>
      <c r="G50" s="226">
        <f t="shared" si="1"/>
        <v>0.08185053380782918</v>
      </c>
      <c r="H50" s="227"/>
    </row>
    <row r="51" spans="1:8" ht="15">
      <c r="A51" s="236" t="s">
        <v>221</v>
      </c>
      <c r="B51" s="222">
        <v>0</v>
      </c>
      <c r="C51" s="223">
        <v>14669.18</v>
      </c>
      <c r="D51" s="263">
        <v>0</v>
      </c>
      <c r="E51" s="224"/>
      <c r="F51" s="225">
        <f t="shared" si="0"/>
        <v>0</v>
      </c>
      <c r="G51" s="226"/>
      <c r="H51" s="206"/>
    </row>
    <row r="52" spans="1:8" ht="15">
      <c r="A52" s="228" t="s">
        <v>210</v>
      </c>
      <c r="B52" s="222">
        <v>590703</v>
      </c>
      <c r="C52" s="223">
        <v>590703</v>
      </c>
      <c r="D52" s="263">
        <v>0</v>
      </c>
      <c r="E52" s="224"/>
      <c r="F52" s="225">
        <f t="shared" si="0"/>
        <v>0</v>
      </c>
      <c r="G52" s="226"/>
      <c r="H52" s="206"/>
    </row>
    <row r="53" spans="1:8" ht="15">
      <c r="A53" s="228" t="s">
        <v>219</v>
      </c>
      <c r="B53" s="222">
        <v>0</v>
      </c>
      <c r="C53" s="223">
        <v>0</v>
      </c>
      <c r="D53" s="263">
        <v>0</v>
      </c>
      <c r="E53" s="224"/>
      <c r="F53" s="225">
        <f t="shared" si="0"/>
        <v>0</v>
      </c>
      <c r="G53" s="226"/>
      <c r="H53" s="206"/>
    </row>
    <row r="54" spans="1:8" ht="15">
      <c r="A54" s="228" t="s">
        <v>222</v>
      </c>
      <c r="B54" s="222">
        <v>0</v>
      </c>
      <c r="C54" s="223">
        <v>0</v>
      </c>
      <c r="D54" s="263">
        <v>5210082</v>
      </c>
      <c r="E54" s="224">
        <v>4448234</v>
      </c>
      <c r="F54" s="225">
        <f t="shared" si="0"/>
        <v>-761848</v>
      </c>
      <c r="G54" s="226">
        <f t="shared" si="1"/>
        <v>-0.14622572159133004</v>
      </c>
      <c r="H54" s="206"/>
    </row>
    <row r="55" spans="1:8" ht="15">
      <c r="A55" s="228" t="s">
        <v>211</v>
      </c>
      <c r="B55" s="222">
        <v>356466</v>
      </c>
      <c r="C55" s="223">
        <v>355127.22</v>
      </c>
      <c r="D55" s="263">
        <v>0</v>
      </c>
      <c r="E55" s="224"/>
      <c r="F55" s="225">
        <f t="shared" si="0"/>
        <v>0</v>
      </c>
      <c r="G55" s="226"/>
      <c r="H55" s="206"/>
    </row>
    <row r="56" spans="1:8" ht="15">
      <c r="A56" s="235" t="s">
        <v>242</v>
      </c>
      <c r="B56" s="222">
        <v>0</v>
      </c>
      <c r="C56" s="223">
        <v>0</v>
      </c>
      <c r="D56" s="263">
        <v>250538</v>
      </c>
      <c r="E56" s="224"/>
      <c r="F56" s="225">
        <f t="shared" si="0"/>
        <v>-250538</v>
      </c>
      <c r="G56" s="226">
        <f t="shared" si="1"/>
        <v>-1</v>
      </c>
      <c r="H56" s="206"/>
    </row>
    <row r="57" spans="1:8" ht="15">
      <c r="A57" s="235" t="s">
        <v>241</v>
      </c>
      <c r="B57" s="222">
        <v>0</v>
      </c>
      <c r="C57" s="223">
        <v>0</v>
      </c>
      <c r="D57" s="263">
        <v>66308</v>
      </c>
      <c r="E57" s="224"/>
      <c r="F57" s="225">
        <f t="shared" si="0"/>
        <v>-66308</v>
      </c>
      <c r="G57" s="226">
        <f t="shared" si="1"/>
        <v>-1</v>
      </c>
      <c r="H57" s="206"/>
    </row>
    <row r="58" spans="1:8" ht="15">
      <c r="A58" s="237" t="s">
        <v>243</v>
      </c>
      <c r="B58" s="222">
        <v>0</v>
      </c>
      <c r="C58" s="223">
        <v>0</v>
      </c>
      <c r="D58" s="263">
        <v>0</v>
      </c>
      <c r="E58" s="224"/>
      <c r="F58" s="225">
        <f t="shared" si="0"/>
        <v>0</v>
      </c>
      <c r="G58" s="226"/>
      <c r="H58" s="206"/>
    </row>
    <row r="59" spans="1:8" ht="15">
      <c r="A59" s="237" t="s">
        <v>239</v>
      </c>
      <c r="B59" s="222">
        <v>0</v>
      </c>
      <c r="C59" s="223">
        <v>0</v>
      </c>
      <c r="D59" s="263">
        <v>25424</v>
      </c>
      <c r="E59" s="224"/>
      <c r="F59" s="225">
        <f t="shared" si="0"/>
        <v>-25424</v>
      </c>
      <c r="G59" s="226">
        <f t="shared" si="1"/>
        <v>-1</v>
      </c>
      <c r="H59" s="206"/>
    </row>
    <row r="60" spans="1:8" ht="15">
      <c r="A60" s="206"/>
      <c r="B60" s="207" t="s">
        <v>63</v>
      </c>
      <c r="C60" s="208" t="s">
        <v>20</v>
      </c>
      <c r="D60" s="260" t="s">
        <v>188</v>
      </c>
      <c r="E60" s="209" t="s">
        <v>79</v>
      </c>
      <c r="F60" s="225"/>
      <c r="G60" s="226"/>
      <c r="H60" s="206"/>
    </row>
    <row r="61" spans="1:8" ht="15">
      <c r="A61" s="206"/>
      <c r="B61" s="207" t="s">
        <v>19</v>
      </c>
      <c r="C61" s="209" t="s">
        <v>23</v>
      </c>
      <c r="D61" s="260" t="s">
        <v>19</v>
      </c>
      <c r="E61" s="209" t="s">
        <v>19</v>
      </c>
      <c r="F61" s="225"/>
      <c r="G61" s="226"/>
      <c r="H61" s="206"/>
    </row>
    <row r="62" spans="1:8" ht="15.75" thickBot="1">
      <c r="A62" s="212" t="s">
        <v>25</v>
      </c>
      <c r="B62" s="213" t="s">
        <v>123</v>
      </c>
      <c r="C62" s="212" t="s">
        <v>123</v>
      </c>
      <c r="D62" s="261" t="s">
        <v>124</v>
      </c>
      <c r="E62" s="214" t="s">
        <v>125</v>
      </c>
      <c r="F62" s="225"/>
      <c r="G62" s="226"/>
      <c r="H62" s="206"/>
    </row>
    <row r="63" spans="1:8" ht="15">
      <c r="A63" s="233" t="s">
        <v>244</v>
      </c>
      <c r="B63" s="238"/>
      <c r="C63" s="209"/>
      <c r="D63" s="266"/>
      <c r="E63" s="239"/>
      <c r="F63" s="225">
        <f t="shared" si="0"/>
        <v>0</v>
      </c>
      <c r="G63" s="226"/>
      <c r="H63" s="206"/>
    </row>
    <row r="64" spans="1:8" ht="15">
      <c r="A64" s="206" t="s">
        <v>35</v>
      </c>
      <c r="B64" s="222">
        <v>68000</v>
      </c>
      <c r="C64" s="223">
        <v>71789.57</v>
      </c>
      <c r="D64" s="263">
        <v>103000</v>
      </c>
      <c r="E64" s="224">
        <v>103000</v>
      </c>
      <c r="F64" s="225">
        <f t="shared" si="0"/>
        <v>0</v>
      </c>
      <c r="G64" s="226">
        <f t="shared" si="1"/>
        <v>0</v>
      </c>
      <c r="H64" s="227"/>
    </row>
    <row r="65" spans="1:8" ht="15">
      <c r="A65" s="206" t="s">
        <v>8</v>
      </c>
      <c r="B65" s="222">
        <v>603000</v>
      </c>
      <c r="C65" s="223">
        <v>682466.64</v>
      </c>
      <c r="D65" s="263">
        <v>832000</v>
      </c>
      <c r="E65" s="224">
        <v>327389</v>
      </c>
      <c r="F65" s="225">
        <f t="shared" si="0"/>
        <v>-504611</v>
      </c>
      <c r="G65" s="226">
        <f t="shared" si="1"/>
        <v>-0.6065036057692308</v>
      </c>
      <c r="H65" s="227"/>
    </row>
    <row r="66" spans="1:8" ht="15">
      <c r="A66" s="206" t="s">
        <v>106</v>
      </c>
      <c r="B66" s="229">
        <v>16000</v>
      </c>
      <c r="C66" s="230">
        <v>33657.29</v>
      </c>
      <c r="D66" s="264">
        <v>34000</v>
      </c>
      <c r="E66" s="231">
        <v>24000</v>
      </c>
      <c r="F66" s="225">
        <f t="shared" si="0"/>
        <v>-10000</v>
      </c>
      <c r="G66" s="226">
        <f t="shared" si="1"/>
        <v>-0.29411764705882354</v>
      </c>
      <c r="H66" s="227"/>
    </row>
    <row r="67" spans="1:8" ht="15">
      <c r="A67" s="206"/>
      <c r="B67" s="222"/>
      <c r="C67" s="223"/>
      <c r="D67" s="263"/>
      <c r="E67" s="224"/>
      <c r="F67" s="225">
        <f t="shared" si="0"/>
        <v>0</v>
      </c>
      <c r="G67" s="226"/>
      <c r="H67" s="206"/>
    </row>
    <row r="68" spans="1:8" ht="15.75">
      <c r="A68" s="232" t="s">
        <v>13</v>
      </c>
      <c r="B68" s="229">
        <f>SUM(B46:B66)</f>
        <v>2627544</v>
      </c>
      <c r="C68" s="230">
        <f>SUM(C46:C66)</f>
        <v>2756259.24</v>
      </c>
      <c r="D68" s="264">
        <f>SUM(D46:D66)</f>
        <v>7551931</v>
      </c>
      <c r="E68" s="368">
        <f>SUM(E47:E66)</f>
        <v>6123370</v>
      </c>
      <c r="F68" s="225">
        <f aca="true" t="shared" si="2" ref="F68:F74">SUM(E68-D68)</f>
        <v>-1428561</v>
      </c>
      <c r="G68" s="240"/>
      <c r="H68" s="206"/>
    </row>
    <row r="69" spans="2:8" ht="18">
      <c r="B69" s="298" t="s">
        <v>308</v>
      </c>
      <c r="C69" s="267"/>
      <c r="D69" s="297">
        <f>SUM(D25+D43+D68)</f>
        <v>87679000</v>
      </c>
      <c r="E69" s="297">
        <f>SUM(E25+E43+E68)</f>
        <v>90135140</v>
      </c>
      <c r="F69" s="369">
        <f>SUM(E69-D69)</f>
        <v>2456140</v>
      </c>
      <c r="G69" s="206"/>
      <c r="H69" s="206"/>
    </row>
    <row r="70" spans="1:8" ht="15">
      <c r="A70" s="233" t="s">
        <v>17</v>
      </c>
      <c r="B70" s="222"/>
      <c r="C70" s="223"/>
      <c r="D70" s="263"/>
      <c r="E70" s="224"/>
      <c r="F70" s="225">
        <f t="shared" si="2"/>
        <v>0</v>
      </c>
      <c r="G70" s="226"/>
      <c r="H70" s="206"/>
    </row>
    <row r="71" spans="1:8" ht="15">
      <c r="A71" s="206" t="s">
        <v>138</v>
      </c>
      <c r="B71" s="222">
        <v>0</v>
      </c>
      <c r="C71" s="223">
        <v>0</v>
      </c>
      <c r="D71" s="263">
        <v>0</v>
      </c>
      <c r="E71" s="224"/>
      <c r="F71" s="225">
        <f t="shared" si="2"/>
        <v>0</v>
      </c>
      <c r="G71" s="226">
        <v>0</v>
      </c>
      <c r="H71" s="206"/>
    </row>
    <row r="72" spans="1:8" ht="15">
      <c r="A72" s="206" t="s">
        <v>36</v>
      </c>
      <c r="B72" s="229">
        <v>416000</v>
      </c>
      <c r="C72" s="230">
        <v>0</v>
      </c>
      <c r="D72" s="264">
        <v>4830000</v>
      </c>
      <c r="E72" s="231">
        <v>3470000</v>
      </c>
      <c r="F72" s="225">
        <f t="shared" si="2"/>
        <v>-1360000</v>
      </c>
      <c r="G72" s="240">
        <v>1</v>
      </c>
      <c r="H72" s="206"/>
    </row>
    <row r="73" spans="1:8" ht="15">
      <c r="A73" s="206"/>
      <c r="B73" s="222"/>
      <c r="C73" s="223"/>
      <c r="D73" s="263"/>
      <c r="E73" s="224"/>
      <c r="F73" s="225">
        <f t="shared" si="2"/>
        <v>0</v>
      </c>
      <c r="G73" s="226"/>
      <c r="H73" s="206"/>
    </row>
    <row r="74" spans="1:8" ht="15">
      <c r="A74" s="232" t="s">
        <v>18</v>
      </c>
      <c r="B74" s="229">
        <f>SUM(B71:B72)</f>
        <v>416000</v>
      </c>
      <c r="C74" s="230">
        <f>SUM(C71:C72)</f>
        <v>0</v>
      </c>
      <c r="D74" s="264">
        <f>SUM(D71:D72)</f>
        <v>4830000</v>
      </c>
      <c r="E74" s="264">
        <v>3470000</v>
      </c>
      <c r="F74" s="225">
        <f t="shared" si="2"/>
        <v>-1360000</v>
      </c>
      <c r="G74" s="240">
        <v>0</v>
      </c>
      <c r="H74" s="206"/>
    </row>
    <row r="75" spans="1:8" ht="15">
      <c r="A75" s="206"/>
      <c r="B75" s="222"/>
      <c r="C75" s="223"/>
      <c r="D75" s="263"/>
      <c r="E75" s="224"/>
      <c r="G75" s="206"/>
      <c r="H75" s="206"/>
    </row>
    <row r="76" spans="1:8" ht="15.75" thickBot="1">
      <c r="A76" s="241" t="s">
        <v>14</v>
      </c>
      <c r="B76" s="242">
        <f>B25+B43+B68+B74</f>
        <v>75860000</v>
      </c>
      <c r="C76" s="243">
        <f>C25+C43+C68+C74</f>
        <v>77300075.74</v>
      </c>
      <c r="D76" s="268">
        <f>D25+D43+D68+D74</f>
        <v>92509000</v>
      </c>
      <c r="E76" s="244">
        <f>E25+E43+E68+E74</f>
        <v>93605140</v>
      </c>
      <c r="F76" s="244"/>
      <c r="G76" s="245"/>
      <c r="H76" s="206"/>
    </row>
    <row r="77" spans="1:8" ht="18.75" thickTop="1">
      <c r="A77" s="241"/>
      <c r="B77" s="223"/>
      <c r="C77" s="223"/>
      <c r="E77" s="297">
        <v>2641508</v>
      </c>
      <c r="F77" s="263" t="s">
        <v>275</v>
      </c>
      <c r="H77" s="206"/>
    </row>
    <row r="78" spans="1:8" ht="18">
      <c r="A78" s="241"/>
      <c r="B78" s="223"/>
      <c r="C78" s="223"/>
      <c r="D78" s="263"/>
      <c r="E78" s="297">
        <f>SUM(E76:E77)</f>
        <v>96246648</v>
      </c>
      <c r="F78" s="209" t="s">
        <v>19</v>
      </c>
      <c r="G78" s="252"/>
      <c r="H78" s="206"/>
    </row>
    <row r="79" spans="1:7" ht="15.75" thickBot="1">
      <c r="A79" s="6"/>
      <c r="B79" s="6"/>
      <c r="C79" s="6"/>
      <c r="D79" s="269"/>
      <c r="E79" s="6"/>
      <c r="F79" s="214" t="s">
        <v>125</v>
      </c>
      <c r="G79" s="6"/>
    </row>
  </sheetData>
  <sheetProtection/>
  <printOptions gridLines="1"/>
  <pageMargins left="0.7" right="0.7" top="0.5" bottom="2.25" header="0.05" footer="0.3"/>
  <pageSetup fitToHeight="0" horizontalDpi="600" verticalDpi="600" orientation="landscape" scale="65" r:id="rId1"/>
  <headerFooter>
    <oddHeader>&amp;LPROPOSED&amp;CREVENUE BUDGET
2023-2024&amp;R5/09/2023
MSZ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E4">
      <selection activeCell="I19" sqref="I19"/>
    </sheetView>
  </sheetViews>
  <sheetFormatPr defaultColWidth="9.140625" defaultRowHeight="12.75"/>
  <cols>
    <col min="1" max="1" width="62.00390625" style="0" customWidth="1"/>
    <col min="2" max="2" width="41.7109375" style="0" customWidth="1"/>
    <col min="3" max="3" width="24.57421875" style="0" customWidth="1"/>
    <col min="4" max="4" width="2.28125" style="0" customWidth="1"/>
    <col min="5" max="5" width="36.7109375" style="0" customWidth="1"/>
    <col min="6" max="6" width="26.28125" style="0" customWidth="1"/>
    <col min="7" max="7" width="43.140625" style="0" customWidth="1"/>
    <col min="8" max="8" width="26.28125" style="0" customWidth="1"/>
    <col min="9" max="9" width="31.00390625" style="0" customWidth="1"/>
    <col min="10" max="10" width="23.00390625" style="0" customWidth="1"/>
    <col min="11" max="11" width="24.421875" style="0" customWidth="1"/>
  </cols>
  <sheetData>
    <row r="1" spans="1:11" ht="20.25">
      <c r="A1" s="299"/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1" ht="20.25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20.25">
      <c r="A3" s="300"/>
      <c r="B3" s="299"/>
      <c r="C3" s="301"/>
      <c r="D3" s="325"/>
      <c r="E3" s="302" t="s">
        <v>288</v>
      </c>
      <c r="F3" s="303" t="s">
        <v>351</v>
      </c>
      <c r="G3" s="301"/>
      <c r="H3" s="303" t="s">
        <v>288</v>
      </c>
      <c r="I3" s="304" t="s">
        <v>306</v>
      </c>
      <c r="J3" s="302"/>
      <c r="K3" s="299"/>
    </row>
    <row r="4" spans="1:11" ht="20.25">
      <c r="A4" s="300"/>
      <c r="B4" s="299"/>
      <c r="C4" s="304" t="s">
        <v>287</v>
      </c>
      <c r="D4" s="325"/>
      <c r="E4" s="302" t="s">
        <v>125</v>
      </c>
      <c r="F4" s="303" t="s">
        <v>305</v>
      </c>
      <c r="G4" s="301"/>
      <c r="H4" s="303" t="s">
        <v>125</v>
      </c>
      <c r="I4" s="304" t="s">
        <v>307</v>
      </c>
      <c r="J4" s="302"/>
      <c r="K4" s="299"/>
    </row>
    <row r="5" spans="1:11" ht="20.25">
      <c r="A5" s="300"/>
      <c r="B5" s="299" t="s">
        <v>289</v>
      </c>
      <c r="C5" s="305">
        <v>20865.86</v>
      </c>
      <c r="D5" s="315"/>
      <c r="E5" s="306"/>
      <c r="F5" s="306">
        <v>20865.86</v>
      </c>
      <c r="G5" s="301"/>
      <c r="H5" s="306"/>
      <c r="I5" s="306">
        <v>20865.86</v>
      </c>
      <c r="J5" s="306"/>
      <c r="K5" s="299"/>
    </row>
    <row r="6" spans="1:11" ht="20.25">
      <c r="A6" s="300"/>
      <c r="B6" s="299" t="s">
        <v>284</v>
      </c>
      <c r="C6" s="305">
        <v>565056.46</v>
      </c>
      <c r="D6" s="315"/>
      <c r="E6" s="306"/>
      <c r="F6" s="306">
        <v>565056.46</v>
      </c>
      <c r="G6" s="301"/>
      <c r="H6" s="306"/>
      <c r="I6" s="306">
        <v>565056.46</v>
      </c>
      <c r="J6" s="306"/>
      <c r="K6" s="299"/>
    </row>
    <row r="7" spans="1:11" ht="20.25">
      <c r="A7" s="300"/>
      <c r="B7" s="299" t="s">
        <v>285</v>
      </c>
      <c r="C7" s="305">
        <v>4527000</v>
      </c>
      <c r="D7" s="315"/>
      <c r="E7" s="306"/>
      <c r="F7" s="306">
        <v>4527000</v>
      </c>
      <c r="G7" s="301"/>
      <c r="H7" s="306"/>
      <c r="I7" s="306">
        <v>4527000</v>
      </c>
      <c r="J7" s="306"/>
      <c r="K7" s="299"/>
    </row>
    <row r="8" spans="1:11" ht="20.25">
      <c r="A8" s="307" t="s">
        <v>286</v>
      </c>
      <c r="B8" s="306">
        <v>11766925</v>
      </c>
      <c r="C8" s="301"/>
      <c r="D8" s="325"/>
      <c r="E8" s="308">
        <v>7818003.55</v>
      </c>
      <c r="F8" s="306"/>
      <c r="G8" s="305">
        <f>SUM(E5:F8)</f>
        <v>12930925.870000001</v>
      </c>
      <c r="H8" s="306">
        <v>7818003.55</v>
      </c>
      <c r="I8" s="301"/>
      <c r="J8" s="306">
        <f>SUM(H5:I8)</f>
        <v>12930925.870000001</v>
      </c>
      <c r="K8" s="299"/>
    </row>
    <row r="9" spans="1:11" ht="20.25">
      <c r="A9" s="307" t="s">
        <v>290</v>
      </c>
      <c r="B9" s="306">
        <v>-2500000</v>
      </c>
      <c r="C9" s="305"/>
      <c r="D9" s="315"/>
      <c r="E9" s="308">
        <v>-3000000</v>
      </c>
      <c r="F9" s="299"/>
      <c r="G9" s="301"/>
      <c r="H9" s="306">
        <v>-3000000</v>
      </c>
      <c r="I9" s="301"/>
      <c r="J9" s="306"/>
      <c r="K9" s="299"/>
    </row>
    <row r="10" spans="1:11" ht="20.25">
      <c r="A10" s="307" t="s">
        <v>291</v>
      </c>
      <c r="B10" s="306">
        <v>-500000</v>
      </c>
      <c r="C10" s="305"/>
      <c r="D10" s="315"/>
      <c r="E10" s="308"/>
      <c r="F10" s="299"/>
      <c r="G10" s="301"/>
      <c r="H10" s="306"/>
      <c r="I10" s="301"/>
      <c r="J10" s="306"/>
      <c r="K10" s="299"/>
    </row>
    <row r="11" spans="1:11" ht="20.25">
      <c r="A11" s="307" t="s">
        <v>293</v>
      </c>
      <c r="B11" s="309">
        <v>-4814000</v>
      </c>
      <c r="C11" s="305"/>
      <c r="D11" s="315"/>
      <c r="E11" s="310">
        <v>-470000</v>
      </c>
      <c r="F11" s="299"/>
      <c r="G11" s="301"/>
      <c r="H11" s="311">
        <v>-3111508</v>
      </c>
      <c r="I11" s="301"/>
      <c r="J11" s="309"/>
      <c r="K11" s="299"/>
    </row>
    <row r="12" spans="1:11" ht="20.25">
      <c r="A12" s="300"/>
      <c r="B12" s="299"/>
      <c r="C12" s="312">
        <f>SUM(B8:B11)</f>
        <v>3952925</v>
      </c>
      <c r="D12" s="315"/>
      <c r="E12" s="313"/>
      <c r="F12" s="309">
        <f>SUM(E8:E11)</f>
        <v>4348003.55</v>
      </c>
      <c r="G12" s="301"/>
      <c r="H12" s="306"/>
      <c r="I12" s="314">
        <f>SUM(H8:H11)</f>
        <v>1706495.5499999998</v>
      </c>
      <c r="J12" s="315"/>
      <c r="K12" s="299"/>
    </row>
    <row r="13" spans="1:11" ht="20.25">
      <c r="A13" s="316" t="s">
        <v>288</v>
      </c>
      <c r="B13" s="299" t="s">
        <v>292</v>
      </c>
      <c r="C13" s="305">
        <f>SUM(C5:C12)</f>
        <v>9065847.32</v>
      </c>
      <c r="D13" s="315"/>
      <c r="E13" s="308"/>
      <c r="F13" s="319">
        <f>SUM(F5:F12)</f>
        <v>9460925.870000001</v>
      </c>
      <c r="G13" s="317" t="s">
        <v>304</v>
      </c>
      <c r="H13" s="299"/>
      <c r="I13" s="360">
        <f>SUM(I5:I12)</f>
        <v>6819417.87</v>
      </c>
      <c r="J13" s="318"/>
      <c r="K13" s="317" t="s">
        <v>304</v>
      </c>
    </row>
    <row r="14" spans="1:11" ht="20.25">
      <c r="A14" s="300"/>
      <c r="B14" s="299"/>
      <c r="C14" s="305"/>
      <c r="D14" s="315"/>
      <c r="E14" s="308"/>
      <c r="F14" s="299"/>
      <c r="G14" s="318">
        <v>45473</v>
      </c>
      <c r="H14" s="299"/>
      <c r="I14" s="301"/>
      <c r="J14" s="301"/>
      <c r="K14" s="318">
        <v>45473</v>
      </c>
    </row>
    <row r="15" spans="1:11" ht="20.25">
      <c r="A15" s="300"/>
      <c r="B15" s="299"/>
      <c r="C15" s="305"/>
      <c r="D15" s="315"/>
      <c r="E15" s="308"/>
      <c r="F15" s="299"/>
      <c r="G15" s="301"/>
      <c r="H15" s="306"/>
      <c r="I15" s="301" t="s">
        <v>354</v>
      </c>
      <c r="J15" s="306"/>
      <c r="K15" s="299"/>
    </row>
    <row r="16" spans="1:11" ht="20.25">
      <c r="A16" s="316" t="s">
        <v>288</v>
      </c>
      <c r="B16" s="299" t="s">
        <v>292</v>
      </c>
      <c r="C16" s="305" t="s">
        <v>295</v>
      </c>
      <c r="D16" s="315"/>
      <c r="E16" s="308"/>
      <c r="F16" s="306" t="s">
        <v>350</v>
      </c>
      <c r="G16" s="301"/>
      <c r="H16" s="319" t="s">
        <v>298</v>
      </c>
      <c r="I16" s="319">
        <v>96246648</v>
      </c>
      <c r="J16" s="306"/>
      <c r="K16" s="299"/>
    </row>
    <row r="17" spans="1:11" ht="20.25">
      <c r="A17" s="300"/>
      <c r="B17" s="299" t="s">
        <v>294</v>
      </c>
      <c r="C17" s="305">
        <v>92508700</v>
      </c>
      <c r="D17" s="315"/>
      <c r="E17" s="320" t="s">
        <v>298</v>
      </c>
      <c r="F17" s="319">
        <v>96246648</v>
      </c>
      <c r="G17" s="301" t="s">
        <v>303</v>
      </c>
      <c r="H17" s="299" t="s">
        <v>19</v>
      </c>
      <c r="I17" s="301"/>
      <c r="J17" s="301" t="s">
        <v>303</v>
      </c>
      <c r="K17" s="299"/>
    </row>
    <row r="18" spans="1:11" ht="21" thickBot="1">
      <c r="A18" s="300"/>
      <c r="B18" s="299"/>
      <c r="C18" s="301"/>
      <c r="D18" s="325"/>
      <c r="E18" s="302" t="s">
        <v>19</v>
      </c>
      <c r="F18" s="299"/>
      <c r="G18" s="301"/>
      <c r="H18" s="321"/>
      <c r="I18" s="301"/>
      <c r="J18" s="322"/>
      <c r="K18" s="299"/>
    </row>
    <row r="19" spans="1:11" ht="24" thickBot="1">
      <c r="A19" s="300"/>
      <c r="B19" s="303" t="s">
        <v>296</v>
      </c>
      <c r="C19" s="323">
        <v>0.098</v>
      </c>
      <c r="D19" s="326"/>
      <c r="E19" s="324"/>
      <c r="F19" s="359">
        <v>0.09829</v>
      </c>
      <c r="G19" s="301"/>
      <c r="H19" s="299"/>
      <c r="I19" s="359">
        <v>0.0708</v>
      </c>
      <c r="J19" s="321"/>
      <c r="K19" s="299"/>
    </row>
    <row r="20" spans="1:11" ht="26.25">
      <c r="A20" s="300"/>
      <c r="B20" s="303" t="s">
        <v>297</v>
      </c>
      <c r="C20" s="305"/>
      <c r="D20" s="325"/>
      <c r="E20" s="328" t="s">
        <v>310</v>
      </c>
      <c r="F20" s="329"/>
      <c r="G20" s="301"/>
      <c r="H20" s="327" t="s">
        <v>309</v>
      </c>
      <c r="I20" s="246"/>
      <c r="J20" s="299"/>
      <c r="K20" s="299"/>
    </row>
    <row r="21" spans="1:11" ht="26.25">
      <c r="A21" s="299"/>
      <c r="B21" s="299"/>
      <c r="C21" s="305"/>
      <c r="D21" s="325"/>
      <c r="E21" s="328" t="s">
        <v>311</v>
      </c>
      <c r="F21" s="329"/>
      <c r="G21" s="299"/>
      <c r="H21" s="299"/>
      <c r="I21" s="299"/>
      <c r="J21" s="299"/>
      <c r="K21" s="299"/>
    </row>
    <row r="22" spans="1:11" ht="26.25">
      <c r="A22" s="299"/>
      <c r="B22" s="299"/>
      <c r="C22" s="305"/>
      <c r="D22" s="325"/>
      <c r="E22" s="328"/>
      <c r="F22" s="329"/>
      <c r="G22" s="301"/>
      <c r="H22" s="299"/>
      <c r="I22" s="319">
        <v>2641508</v>
      </c>
      <c r="J22" s="299" t="s">
        <v>352</v>
      </c>
      <c r="K22" s="299"/>
    </row>
    <row r="23" spans="1:11" ht="26.25">
      <c r="A23" s="299"/>
      <c r="B23" s="299"/>
      <c r="C23" s="305"/>
      <c r="D23" s="325"/>
      <c r="E23" s="328"/>
      <c r="F23" s="329"/>
      <c r="G23" s="301"/>
      <c r="H23" s="299"/>
      <c r="I23" s="361">
        <v>470000</v>
      </c>
      <c r="J23" s="362" t="s">
        <v>353</v>
      </c>
      <c r="K23" s="319"/>
    </row>
    <row r="24" spans="1:11" ht="26.25">
      <c r="A24" s="299"/>
      <c r="B24" s="299"/>
      <c r="C24" s="305"/>
      <c r="D24" s="325"/>
      <c r="E24" s="328"/>
      <c r="F24" s="329"/>
      <c r="G24" s="301"/>
      <c r="H24" s="299"/>
      <c r="I24" s="319">
        <f>SUM(I22:I23)</f>
        <v>3111508</v>
      </c>
      <c r="J24" s="299" t="s">
        <v>365</v>
      </c>
      <c r="K24" s="299"/>
    </row>
    <row r="25" spans="1:11" ht="26.25">
      <c r="A25" s="299"/>
      <c r="B25" s="299"/>
      <c r="C25" s="305"/>
      <c r="D25" s="325"/>
      <c r="E25" s="328"/>
      <c r="F25" s="329"/>
      <c r="G25" s="301"/>
      <c r="H25" s="299"/>
      <c r="I25" s="299"/>
      <c r="J25" s="299" t="s">
        <v>366</v>
      </c>
      <c r="K25" s="299"/>
    </row>
  </sheetData>
  <sheetProtection/>
  <printOptions gridLines="1"/>
  <pageMargins left="0.7" right="0.7" top="0.75" bottom="0.75" header="0.3" footer="0.3"/>
  <pageSetup fitToHeight="1" fitToWidth="1" horizontalDpi="600" verticalDpi="600" orientation="landscape" scale="36" r:id="rId1"/>
  <headerFooter>
    <oddHeader>&amp;CFUND BALANCE
PROJECTED 
2023-2024&amp;R6/5/2023
MSZ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6:E21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2" max="2" width="19.57421875" style="0" customWidth="1"/>
    <col min="3" max="3" width="19.00390625" style="0" customWidth="1"/>
    <col min="4" max="4" width="29.00390625" style="0" customWidth="1"/>
    <col min="5" max="5" width="26.140625" style="0" customWidth="1"/>
  </cols>
  <sheetData>
    <row r="5" s="299" customFormat="1" ht="20.25"/>
    <row r="6" spans="2:5" s="299" customFormat="1" ht="20.25">
      <c r="B6" s="299" t="s">
        <v>333</v>
      </c>
      <c r="C6" s="299" t="s">
        <v>19</v>
      </c>
      <c r="D6" s="299" t="s">
        <v>334</v>
      </c>
      <c r="E6" s="299" t="s">
        <v>335</v>
      </c>
    </row>
    <row r="7" s="299" customFormat="1" ht="20.25">
      <c r="C7" s="363"/>
    </row>
    <row r="8" spans="2:5" s="299" customFormat="1" ht="20.25">
      <c r="B8" s="299" t="s">
        <v>125</v>
      </c>
      <c r="C8" s="364">
        <v>96246648</v>
      </c>
      <c r="D8" s="364">
        <v>9460925</v>
      </c>
      <c r="E8" s="365">
        <v>0.0983</v>
      </c>
    </row>
    <row r="9" spans="2:5" s="299" customFormat="1" ht="20.25">
      <c r="B9" s="299" t="s">
        <v>124</v>
      </c>
      <c r="C9" s="364">
        <v>92508700</v>
      </c>
      <c r="D9" s="364">
        <v>9065847</v>
      </c>
      <c r="E9" s="365">
        <v>0.098</v>
      </c>
    </row>
    <row r="10" spans="2:5" s="299" customFormat="1" ht="20.25">
      <c r="B10" s="299" t="s">
        <v>127</v>
      </c>
      <c r="C10" s="364">
        <v>87591000</v>
      </c>
      <c r="D10" s="364">
        <v>11766294</v>
      </c>
      <c r="E10" s="365">
        <v>0.1343</v>
      </c>
    </row>
    <row r="11" spans="2:5" s="299" customFormat="1" ht="20.25">
      <c r="B11" s="299" t="s">
        <v>123</v>
      </c>
      <c r="C11" s="364">
        <v>75444000</v>
      </c>
      <c r="D11" s="364">
        <v>12087208.7</v>
      </c>
      <c r="E11" s="365">
        <v>0.1593</v>
      </c>
    </row>
    <row r="12" spans="2:5" s="299" customFormat="1" ht="20.25">
      <c r="B12" s="299" t="s">
        <v>122</v>
      </c>
      <c r="C12" s="364">
        <v>77269000</v>
      </c>
      <c r="D12" s="364">
        <v>9288257</v>
      </c>
      <c r="E12" s="365">
        <v>0.1181</v>
      </c>
    </row>
    <row r="13" spans="2:5" s="299" customFormat="1" ht="20.25">
      <c r="B13" s="299" t="s">
        <v>126</v>
      </c>
      <c r="C13" s="364">
        <v>75312000</v>
      </c>
      <c r="D13" s="364">
        <v>10477820</v>
      </c>
      <c r="E13" s="365">
        <v>0.1391</v>
      </c>
    </row>
    <row r="14" spans="2:5" s="299" customFormat="1" ht="20.25">
      <c r="B14" s="299" t="s">
        <v>121</v>
      </c>
      <c r="C14" s="364">
        <v>75749000</v>
      </c>
      <c r="D14" s="364">
        <v>10939038</v>
      </c>
      <c r="E14" s="365">
        <v>0.1444</v>
      </c>
    </row>
    <row r="15" spans="2:5" s="299" customFormat="1" ht="20.25">
      <c r="B15" s="299" t="s">
        <v>355</v>
      </c>
      <c r="C15" s="364">
        <v>71155000</v>
      </c>
      <c r="D15" s="364">
        <v>14566111</v>
      </c>
      <c r="E15" s="365">
        <v>0.2047</v>
      </c>
    </row>
    <row r="16" spans="2:5" s="299" customFormat="1" ht="20.25">
      <c r="B16" s="299" t="s">
        <v>115</v>
      </c>
      <c r="C16" s="364">
        <v>70765000</v>
      </c>
      <c r="D16" s="364">
        <v>12806480</v>
      </c>
      <c r="E16" s="365">
        <v>0.1824</v>
      </c>
    </row>
    <row r="17" spans="2:5" s="299" customFormat="1" ht="20.25">
      <c r="B17" s="299" t="s">
        <v>97</v>
      </c>
      <c r="C17" s="364">
        <v>70180000</v>
      </c>
      <c r="D17" s="364">
        <v>9350720</v>
      </c>
      <c r="E17" s="365">
        <v>0.1333</v>
      </c>
    </row>
    <row r="18" spans="3:5" s="299" customFormat="1" ht="20.25">
      <c r="C18" s="363"/>
      <c r="D18" s="364"/>
      <c r="E18" s="365"/>
    </row>
    <row r="19" spans="3:5" s="299" customFormat="1" ht="20.25">
      <c r="C19" s="363"/>
      <c r="D19" s="366" t="s">
        <v>356</v>
      </c>
      <c r="E19" s="365">
        <v>0.1412</v>
      </c>
    </row>
    <row r="20" spans="2:4" ht="26.25">
      <c r="B20" s="325"/>
      <c r="C20" s="328" t="s">
        <v>310</v>
      </c>
      <c r="D20" s="329"/>
    </row>
    <row r="21" spans="2:4" ht="26.25">
      <c r="B21" s="325"/>
      <c r="C21" s="328" t="s">
        <v>311</v>
      </c>
      <c r="D21" s="329"/>
    </row>
  </sheetData>
  <sheetProtection/>
  <printOptions gridLines="1"/>
  <pageMargins left="0.7" right="0.7" top="0.75" bottom="0.75" header="0.3" footer="0.3"/>
  <pageSetup horizontalDpi="600" verticalDpi="600" orientation="landscape" r:id="rId1"/>
  <headerFooter>
    <oddHeader>&amp;CFUND BALANCE HISTORY
2014-2024&amp;R6/05/23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D6:H36"/>
  <sheetViews>
    <sheetView zoomScalePageLayoutView="0" workbookViewId="0" topLeftCell="A10">
      <selection activeCell="G31" sqref="G31"/>
    </sheetView>
  </sheetViews>
  <sheetFormatPr defaultColWidth="9.140625" defaultRowHeight="12.75"/>
  <cols>
    <col min="5" max="5" width="14.421875" style="0" customWidth="1"/>
    <col min="6" max="6" width="37.57421875" style="0" customWidth="1"/>
    <col min="7" max="7" width="25.140625" style="0" customWidth="1"/>
    <col min="8" max="8" width="29.00390625" style="0" customWidth="1"/>
  </cols>
  <sheetData>
    <row r="6" ht="18">
      <c r="F6" s="154" t="s">
        <v>315</v>
      </c>
    </row>
    <row r="7" spans="4:6" ht="18">
      <c r="D7" s="154"/>
      <c r="E7" s="330">
        <v>100000</v>
      </c>
      <c r="F7" s="154" t="s">
        <v>312</v>
      </c>
    </row>
    <row r="8" spans="4:6" ht="18">
      <c r="D8" s="154"/>
      <c r="E8" s="154" t="s">
        <v>313</v>
      </c>
      <c r="F8" s="154"/>
    </row>
    <row r="9" spans="4:6" ht="18">
      <c r="D9" s="154"/>
      <c r="E9" s="333">
        <v>0.0217479</v>
      </c>
      <c r="F9" s="331" t="s">
        <v>314</v>
      </c>
    </row>
    <row r="10" spans="4:6" ht="18">
      <c r="D10" s="154"/>
      <c r="E10" s="154"/>
      <c r="F10" s="154"/>
    </row>
    <row r="11" spans="4:6" ht="18">
      <c r="D11" s="154"/>
      <c r="E11" s="332">
        <v>2174.79</v>
      </c>
      <c r="F11" s="154"/>
    </row>
    <row r="12" spans="4:6" ht="18">
      <c r="D12" s="154"/>
      <c r="E12" s="154"/>
      <c r="F12" s="154"/>
    </row>
    <row r="13" spans="4:6" ht="18">
      <c r="D13" s="154"/>
      <c r="E13" s="154"/>
      <c r="F13" s="154" t="s">
        <v>316</v>
      </c>
    </row>
    <row r="14" spans="4:6" ht="18">
      <c r="D14" s="154"/>
      <c r="E14" s="330">
        <v>150000</v>
      </c>
      <c r="F14" s="154" t="s">
        <v>317</v>
      </c>
    </row>
    <row r="15" ht="18">
      <c r="F15" s="154" t="s">
        <v>312</v>
      </c>
    </row>
    <row r="16" spans="5:6" ht="18">
      <c r="E16" s="154" t="s">
        <v>313</v>
      </c>
      <c r="F16" s="154"/>
    </row>
    <row r="17" spans="5:6" ht="18">
      <c r="E17" s="333">
        <v>0.0217479</v>
      </c>
      <c r="F17" s="331" t="s">
        <v>314</v>
      </c>
    </row>
    <row r="18" spans="5:6" ht="18">
      <c r="E18" s="154"/>
      <c r="F18" s="154"/>
    </row>
    <row r="19" spans="5:8" ht="18">
      <c r="E19" s="332">
        <v>3262.18</v>
      </c>
      <c r="F19" s="154"/>
      <c r="G19" s="332">
        <v>3262.18</v>
      </c>
      <c r="H19" s="9" t="s">
        <v>319</v>
      </c>
    </row>
    <row r="20" spans="5:8" ht="18">
      <c r="E20" s="154"/>
      <c r="F20" s="154"/>
      <c r="G20" s="334">
        <v>2174.79</v>
      </c>
      <c r="H20" s="335" t="s">
        <v>318</v>
      </c>
    </row>
    <row r="21" spans="7:8" ht="18.75" thickBot="1">
      <c r="G21" s="332">
        <v>1087.39</v>
      </c>
      <c r="H21" s="9" t="s">
        <v>320</v>
      </c>
    </row>
    <row r="22" spans="6:8" ht="18.75" thickTop="1">
      <c r="F22" s="336" t="s">
        <v>322</v>
      </c>
      <c r="G22" s="332"/>
      <c r="H22" s="9"/>
    </row>
    <row r="23" ht="18">
      <c r="F23" s="337" t="s">
        <v>321</v>
      </c>
    </row>
    <row r="24" ht="18.75" thickBot="1">
      <c r="F24" s="338" t="s">
        <v>323</v>
      </c>
    </row>
    <row r="25" ht="13.5" thickTop="1"/>
    <row r="26" spans="5:6" ht="18">
      <c r="E26" s="154"/>
      <c r="F26" s="154" t="s">
        <v>316</v>
      </c>
    </row>
    <row r="27" ht="18">
      <c r="F27" s="154" t="s">
        <v>317</v>
      </c>
    </row>
    <row r="28" spans="5:6" ht="18">
      <c r="E28" s="330">
        <v>150000</v>
      </c>
      <c r="F28" s="154" t="s">
        <v>312</v>
      </c>
    </row>
    <row r="29" ht="18">
      <c r="E29" s="339" t="s">
        <v>313</v>
      </c>
    </row>
    <row r="30" spans="5:6" ht="20.25">
      <c r="E30" s="340">
        <v>0.63</v>
      </c>
      <c r="F30" s="341" t="s">
        <v>321</v>
      </c>
    </row>
    <row r="31" ht="18">
      <c r="E31" s="330">
        <v>94500</v>
      </c>
    </row>
    <row r="33" ht="18">
      <c r="E33" s="330">
        <v>94500</v>
      </c>
    </row>
    <row r="34" spans="5:8" ht="18">
      <c r="E34" s="154" t="s">
        <v>313</v>
      </c>
      <c r="F34" s="154"/>
      <c r="G34" s="332">
        <v>3262.18</v>
      </c>
      <c r="H34" s="9" t="s">
        <v>319</v>
      </c>
    </row>
    <row r="35" spans="5:8" ht="18">
      <c r="E35" s="333">
        <v>0.0217479</v>
      </c>
      <c r="F35" s="331" t="s">
        <v>314</v>
      </c>
      <c r="G35" s="334">
        <v>2055.18</v>
      </c>
      <c r="H35" s="335" t="s">
        <v>324</v>
      </c>
    </row>
    <row r="36" spans="5:8" ht="18">
      <c r="E36" s="332">
        <v>2055.18</v>
      </c>
      <c r="G36" s="332">
        <v>-1207.01</v>
      </c>
      <c r="H36" s="9" t="s">
        <v>325</v>
      </c>
    </row>
  </sheetData>
  <sheetProtection/>
  <printOptions gridLines="1"/>
  <pageMargins left="0.7" right="0.7" top="0.75" bottom="0.75" header="0.3" footer="0.3"/>
  <pageSetup fitToHeight="1" fitToWidth="1" horizontalDpi="600" verticalDpi="600" orientation="landscape" scale="84" r:id="rId1"/>
  <headerFooter>
    <oddHeader>&amp;LALLEGHENY COUNTY
&amp;CCOMMON LEVEL 
RATIO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4" sqref="F4"/>
    </sheetView>
  </sheetViews>
  <sheetFormatPr defaultColWidth="9.140625" defaultRowHeight="12.75"/>
  <cols>
    <col min="1" max="1" width="13.28125" style="0" bestFit="1" customWidth="1"/>
    <col min="2" max="2" width="14.57421875" style="0" bestFit="1" customWidth="1"/>
    <col min="3" max="3" width="10.421875" style="0" bestFit="1" customWidth="1"/>
    <col min="4" max="4" width="10.00390625" style="0" customWidth="1"/>
    <col min="5" max="5" width="15.7109375" style="0" bestFit="1" customWidth="1"/>
    <col min="6" max="6" width="20.57421875" style="0" bestFit="1" customWidth="1"/>
  </cols>
  <sheetData>
    <row r="1" spans="1:6" ht="12.75">
      <c r="A1" s="1"/>
      <c r="B1" s="1" t="s">
        <v>0</v>
      </c>
      <c r="C1" s="1" t="s">
        <v>89</v>
      </c>
      <c r="D1" s="1" t="s">
        <v>90</v>
      </c>
      <c r="E1" s="32" t="s">
        <v>131</v>
      </c>
      <c r="F1" s="1" t="s">
        <v>174</v>
      </c>
    </row>
    <row r="2" spans="1:6" ht="13.5" thickBot="1">
      <c r="A2" s="2" t="s">
        <v>88</v>
      </c>
      <c r="B2" s="2" t="s">
        <v>87</v>
      </c>
      <c r="C2" s="2" t="s">
        <v>30</v>
      </c>
      <c r="D2" s="2" t="s">
        <v>91</v>
      </c>
      <c r="E2" s="47" t="s">
        <v>36</v>
      </c>
      <c r="F2" s="12" t="s">
        <v>175</v>
      </c>
    </row>
    <row r="3" spans="1:7" ht="12.75">
      <c r="A3" s="18" t="s">
        <v>125</v>
      </c>
      <c r="B3" s="18">
        <v>22.857</v>
      </c>
      <c r="C3" s="18" t="s">
        <v>92</v>
      </c>
      <c r="D3" s="18">
        <v>1.1091</v>
      </c>
      <c r="E3" s="37" t="s">
        <v>92</v>
      </c>
      <c r="F3" s="121">
        <v>3470000</v>
      </c>
      <c r="G3" s="19" t="s">
        <v>247</v>
      </c>
    </row>
    <row r="4" spans="1:7" ht="12.75">
      <c r="A4" s="84" t="s">
        <v>124</v>
      </c>
      <c r="B4" s="84">
        <v>21.7479</v>
      </c>
      <c r="C4" s="18" t="s">
        <v>92</v>
      </c>
      <c r="D4" s="135">
        <v>0.8565</v>
      </c>
      <c r="E4" s="37" t="s">
        <v>92</v>
      </c>
      <c r="F4" s="121">
        <v>4830000</v>
      </c>
      <c r="G4" s="19" t="s">
        <v>247</v>
      </c>
    </row>
    <row r="5" spans="1:6" ht="12.75">
      <c r="A5" s="84" t="s">
        <v>127</v>
      </c>
      <c r="B5" s="84">
        <v>20.8914</v>
      </c>
      <c r="C5" s="18" t="s">
        <v>92</v>
      </c>
      <c r="D5" s="135">
        <v>0.7259</v>
      </c>
      <c r="E5" s="68" t="s">
        <v>93</v>
      </c>
      <c r="F5" s="137">
        <v>0</v>
      </c>
    </row>
    <row r="6" spans="1:7" ht="12.75">
      <c r="A6" s="84" t="s">
        <v>123</v>
      </c>
      <c r="B6" s="84">
        <v>20.1655</v>
      </c>
      <c r="C6" s="18" t="s">
        <v>92</v>
      </c>
      <c r="D6" s="135">
        <v>0.298</v>
      </c>
      <c r="E6" s="37" t="s">
        <v>92</v>
      </c>
      <c r="F6" s="121">
        <v>416000</v>
      </c>
      <c r="G6" s="19"/>
    </row>
    <row r="7" spans="1:7" ht="12.75">
      <c r="A7" s="84" t="s">
        <v>122</v>
      </c>
      <c r="B7" s="84">
        <v>19.8675</v>
      </c>
      <c r="C7" s="11" t="s">
        <v>93</v>
      </c>
      <c r="D7" s="110">
        <v>0</v>
      </c>
      <c r="E7" s="37" t="s">
        <v>92</v>
      </c>
      <c r="F7" s="121">
        <v>2177000</v>
      </c>
      <c r="G7" s="19" t="s">
        <v>189</v>
      </c>
    </row>
    <row r="8" spans="1:7" ht="12.75">
      <c r="A8" s="18" t="s">
        <v>126</v>
      </c>
      <c r="B8" s="18">
        <v>19.8675</v>
      </c>
      <c r="C8" s="18" t="s">
        <v>92</v>
      </c>
      <c r="D8" s="18">
        <v>0.5411</v>
      </c>
      <c r="E8" s="37" t="s">
        <v>92</v>
      </c>
      <c r="F8" s="121">
        <v>1812000</v>
      </c>
      <c r="G8" s="19" t="s">
        <v>190</v>
      </c>
    </row>
    <row r="9" spans="1:7" ht="12.75">
      <c r="A9" s="84" t="s">
        <v>121</v>
      </c>
      <c r="B9" s="11">
        <v>19.3264</v>
      </c>
      <c r="C9" s="11" t="s">
        <v>93</v>
      </c>
      <c r="D9" s="110">
        <v>0</v>
      </c>
      <c r="E9" s="32" t="s">
        <v>92</v>
      </c>
      <c r="F9" s="74">
        <v>3819000</v>
      </c>
      <c r="G9" s="19" t="s">
        <v>190</v>
      </c>
    </row>
    <row r="10" spans="1:7" ht="12.75">
      <c r="A10" s="84" t="s">
        <v>132</v>
      </c>
      <c r="B10" s="11">
        <v>19.3264</v>
      </c>
      <c r="C10" s="11" t="s">
        <v>93</v>
      </c>
      <c r="D10" s="110">
        <v>0</v>
      </c>
      <c r="E10" s="72" t="s">
        <v>93</v>
      </c>
      <c r="F10" s="73">
        <v>0</v>
      </c>
      <c r="G10" s="9" t="s">
        <v>134</v>
      </c>
    </row>
    <row r="11" spans="1:6" ht="12.75">
      <c r="A11" s="18" t="s">
        <v>115</v>
      </c>
      <c r="B11" s="11">
        <v>19.3264</v>
      </c>
      <c r="C11" s="1" t="s">
        <v>92</v>
      </c>
      <c r="D11" s="112">
        <v>0.4345</v>
      </c>
      <c r="E11" s="32" t="s">
        <v>92</v>
      </c>
      <c r="F11" s="74">
        <v>574000</v>
      </c>
    </row>
    <row r="12" spans="1:8" ht="12.75">
      <c r="A12" s="84" t="s">
        <v>97</v>
      </c>
      <c r="B12" s="11">
        <v>18.8919</v>
      </c>
      <c r="C12" s="11" t="s">
        <v>93</v>
      </c>
      <c r="D12" s="110">
        <v>0</v>
      </c>
      <c r="E12" s="32" t="s">
        <v>92</v>
      </c>
      <c r="F12" s="74">
        <v>1777000</v>
      </c>
      <c r="G12" s="9" t="s">
        <v>166</v>
      </c>
      <c r="H12" s="9" t="s">
        <v>167</v>
      </c>
    </row>
    <row r="13" spans="1:6" ht="12.75">
      <c r="A13" s="1" t="s">
        <v>74</v>
      </c>
      <c r="B13" s="11">
        <v>18.8919</v>
      </c>
      <c r="C13" s="1" t="s">
        <v>92</v>
      </c>
      <c r="D13" s="112">
        <v>0.3704</v>
      </c>
      <c r="E13" s="72" t="s">
        <v>93</v>
      </c>
      <c r="F13" s="73">
        <v>0</v>
      </c>
    </row>
    <row r="14" spans="1:6" ht="12.75">
      <c r="A14" s="1" t="s">
        <v>7</v>
      </c>
      <c r="B14" s="11">
        <v>21.85</v>
      </c>
      <c r="C14" s="1" t="s">
        <v>92</v>
      </c>
      <c r="D14" s="111">
        <v>0.83</v>
      </c>
      <c r="E14" s="32" t="s">
        <v>92</v>
      </c>
      <c r="F14" s="74">
        <v>245000</v>
      </c>
    </row>
    <row r="15" spans="1:6" ht="12.75">
      <c r="A15" s="11" t="s">
        <v>83</v>
      </c>
      <c r="B15" s="11">
        <v>21.02</v>
      </c>
      <c r="C15" s="11" t="s">
        <v>93</v>
      </c>
      <c r="D15" s="110">
        <v>0</v>
      </c>
      <c r="E15" s="32" t="s">
        <v>92</v>
      </c>
      <c r="F15" s="74">
        <v>370000</v>
      </c>
    </row>
    <row r="16" spans="1:6" ht="12.75">
      <c r="A16" s="1" t="s">
        <v>75</v>
      </c>
      <c r="B16" s="11">
        <v>21.02</v>
      </c>
      <c r="C16" s="1" t="s">
        <v>92</v>
      </c>
      <c r="D16" s="111">
        <v>1.61</v>
      </c>
      <c r="E16" s="72" t="s">
        <v>93</v>
      </c>
      <c r="F16" s="73">
        <v>0</v>
      </c>
    </row>
    <row r="17" spans="1:8" ht="12.75">
      <c r="A17" s="11" t="s">
        <v>72</v>
      </c>
      <c r="B17" s="11">
        <v>19.41</v>
      </c>
      <c r="C17" s="11" t="s">
        <v>93</v>
      </c>
      <c r="D17" s="110">
        <v>0</v>
      </c>
      <c r="E17" s="32" t="s">
        <v>92</v>
      </c>
      <c r="F17" s="74">
        <v>2663000</v>
      </c>
      <c r="G17" s="19" t="s">
        <v>225</v>
      </c>
      <c r="H17" s="9"/>
    </row>
    <row r="18" spans="1:6" ht="12.75">
      <c r="A18" s="11" t="s">
        <v>69</v>
      </c>
      <c r="B18" s="11">
        <v>19.41</v>
      </c>
      <c r="C18" s="11" t="s">
        <v>93</v>
      </c>
      <c r="D18" s="110">
        <v>0</v>
      </c>
      <c r="E18" s="32" t="s">
        <v>92</v>
      </c>
      <c r="F18" s="74">
        <v>342000</v>
      </c>
    </row>
    <row r="19" spans="1:6" ht="12.75">
      <c r="A19" s="11" t="s">
        <v>68</v>
      </c>
      <c r="B19" s="11">
        <v>19.41</v>
      </c>
      <c r="C19" s="11" t="s">
        <v>93</v>
      </c>
      <c r="D19" s="110">
        <v>0</v>
      </c>
      <c r="E19" s="32" t="s">
        <v>92</v>
      </c>
      <c r="F19" s="74">
        <v>390000</v>
      </c>
    </row>
    <row r="20" spans="1:7" ht="12.75">
      <c r="A20" s="88" t="s">
        <v>133</v>
      </c>
      <c r="B20" s="11">
        <v>19.41</v>
      </c>
      <c r="C20" s="11" t="s">
        <v>93</v>
      </c>
      <c r="D20" s="110">
        <v>0</v>
      </c>
      <c r="E20" s="72" t="s">
        <v>93</v>
      </c>
      <c r="F20" s="73">
        <v>0</v>
      </c>
      <c r="G20" s="9" t="s">
        <v>134</v>
      </c>
    </row>
    <row r="21" spans="1:6" ht="12.75">
      <c r="A21" s="1" t="s">
        <v>57</v>
      </c>
      <c r="B21" s="11">
        <v>19.41</v>
      </c>
      <c r="C21" s="1" t="s">
        <v>92</v>
      </c>
      <c r="D21" s="111">
        <v>1</v>
      </c>
      <c r="E21" s="72" t="s">
        <v>93</v>
      </c>
      <c r="F21" s="73">
        <v>0</v>
      </c>
    </row>
    <row r="22" spans="1:6" ht="12.75">
      <c r="A22" s="1" t="s">
        <v>29</v>
      </c>
      <c r="B22" s="11">
        <v>18.41</v>
      </c>
      <c r="C22" s="1" t="s">
        <v>92</v>
      </c>
      <c r="D22" s="111">
        <v>1</v>
      </c>
      <c r="E22" s="72" t="s">
        <v>93</v>
      </c>
      <c r="F22" s="73">
        <v>0</v>
      </c>
    </row>
    <row r="23" spans="1:6" ht="12.75">
      <c r="A23" s="1" t="s">
        <v>28</v>
      </c>
      <c r="B23" s="11">
        <v>17.41</v>
      </c>
      <c r="C23" s="1" t="s">
        <v>92</v>
      </c>
      <c r="D23" s="111">
        <v>0.86</v>
      </c>
      <c r="E23" s="32" t="s">
        <v>92</v>
      </c>
      <c r="F23" s="74">
        <v>758902</v>
      </c>
    </row>
    <row r="24" spans="1:6" ht="12.75">
      <c r="A24" s="11" t="s">
        <v>27</v>
      </c>
      <c r="B24" s="11">
        <v>16.55</v>
      </c>
      <c r="C24" s="11" t="s">
        <v>94</v>
      </c>
      <c r="D24" s="11" t="s">
        <v>94</v>
      </c>
      <c r="E24" s="32" t="s">
        <v>92</v>
      </c>
      <c r="F24" s="74">
        <v>622190</v>
      </c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</sheetData>
  <sheetProtection/>
  <printOptions gridLines="1"/>
  <pageMargins left="0.25" right="0.25" top="2" bottom="1" header="0.5" footer="0.5"/>
  <pageSetup horizontalDpi="600" verticalDpi="600" orientation="landscape" paperSize="5" r:id="rId1"/>
  <headerFooter alignWithMargins="0">
    <oddHeader>&amp;LBUDGET 22-23
SHEET 14&amp;C&amp;"Arial,Bold"&amp;12GATEWAY SCHOOL DISTRICT
GENERAL FUND
RECENT HISTORY OF
 REAL ESTATE TAX MILLAGE RATES AND UTILIZATION OF FUND BALANCE
2002-2003 THROUGH 2023-2024&amp;R5/09/2023
MSZ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A. Schott</dc:creator>
  <cp:keywords/>
  <dc:description/>
  <cp:lastModifiedBy>Michael Zourelias</cp:lastModifiedBy>
  <cp:lastPrinted>2023-06-06T15:09:22Z</cp:lastPrinted>
  <dcterms:created xsi:type="dcterms:W3CDTF">2002-12-23T17:49:50Z</dcterms:created>
  <dcterms:modified xsi:type="dcterms:W3CDTF">2023-06-06T22:38:36Z</dcterms:modified>
  <cp:category/>
  <cp:version/>
  <cp:contentType/>
  <cp:contentStatus/>
</cp:coreProperties>
</file>